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j_min\Dropbox\KoC_8600\Budget\"/>
    </mc:Choice>
  </mc:AlternateContent>
  <xr:revisionPtr revIDLastSave="0" documentId="13_ncr:1_{770CF611-43CF-426E-A008-5680B7080F53}" xr6:coauthVersionLast="47" xr6:coauthVersionMax="47" xr10:uidLastSave="{00000000-0000-0000-0000-000000000000}"/>
  <bookViews>
    <workbookView xWindow="7560" yWindow="195" windowWidth="21195" windowHeight="14910" tabRatio="730" firstSheet="1" activeTab="1" xr2:uid="{00000000-000D-0000-FFFF-FFFF00000000}"/>
  </bookViews>
  <sheets>
    <sheet name="2019-2020 Tax Worksheet" sheetId="1" state="hidden" r:id="rId1"/>
    <sheet name="Summary" sheetId="2" r:id="rId2"/>
    <sheet name="Income" sheetId="3" r:id="rId3"/>
    <sheet name=" Community Program Expenses" sheetId="4" r:id="rId4"/>
    <sheet name="Family Program Expenses" sheetId="5" r:id="rId5"/>
    <sheet name="Faith Program Expenses" sheetId="6" r:id="rId6"/>
    <sheet name="Life Program Expenses" sheetId="7" r:id="rId7"/>
    <sheet name="Council Opns Expenses" sheetId="8" r:id="rId8"/>
    <sheet name="Annual_Dues" sheetId="10" r:id="rId9"/>
    <sheet name="Historical" sheetId="20" r:id="rId10"/>
    <sheet name="Off Budget" sheetId="9" r:id="rId11"/>
    <sheet name="Sheet2" sheetId="11" state="hidden" r:id="rId12"/>
    <sheet name="Sheet3" sheetId="12" state="hidden" r:id="rId13"/>
    <sheet name="Sheet4" sheetId="13" state="hidden" r:id="rId14"/>
    <sheet name="Sheet1" sheetId="14" state="hidden" r:id="rId15"/>
    <sheet name="total" sheetId="15" state="hidden" r:id="rId16"/>
    <sheet name="Sheet5" sheetId="16" state="hidden" r:id="rId17"/>
    <sheet name="DPCache_2019-2020 Worksheet" sheetId="17" state="hidden" r:id="rId18"/>
    <sheet name="DPCache_2018 Warant Register" sheetId="18" state="hidden" r:id="rId19"/>
    <sheet name="Sheet7" sheetId="19" r:id="rId20"/>
  </sheets>
  <definedNames>
    <definedName name="_xlnm.Print_Area" localSheetId="3">' Community Program Expenses'!$A$1:$L$27</definedName>
    <definedName name="_xlnm.Print_Area" localSheetId="0">'2019-2020 Tax Worksheet'!$B$3:$H$178</definedName>
    <definedName name="_xlnm.Print_Area" localSheetId="7">'Council Opns Expenses'!$A$1:$P$33</definedName>
    <definedName name="_xlnm.Print_Area" localSheetId="5">'Faith Program Expenses'!$A$2:$L$15</definedName>
    <definedName name="_xlnm.Print_Area" localSheetId="4">'Family Program Expenses'!$A$1:$L$22</definedName>
    <definedName name="_xlnm.Print_Area" localSheetId="2">Income!$A$1:$O$37</definedName>
    <definedName name="_xlnm.Print_Area" localSheetId="6">'Life Program Expenses'!$A$2:$L$21</definedName>
    <definedName name="_xlnm.Print_Area" localSheetId="10">'Off Budget'!$A$1:$P$12</definedName>
  </definedNames>
  <calcPr calcId="191029" iterateDelta="1E-4"/>
  <pivotCaches>
    <pivotCache cacheId="0" r:id="rId21"/>
    <pivotCache cacheId="1" r:id="rId2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6" i="3" l="1"/>
  <c r="N6" i="6" l="1"/>
  <c r="C8" i="20"/>
  <c r="B8" i="20"/>
  <c r="Q8" i="8"/>
  <c r="C27" i="8"/>
  <c r="C13" i="6"/>
  <c r="E20" i="10" l="1"/>
  <c r="E22" i="10" s="1"/>
  <c r="C17" i="5"/>
  <c r="E26" i="3"/>
  <c r="E27" i="3"/>
  <c r="D29" i="3"/>
  <c r="E11" i="3" l="1"/>
  <c r="F11" i="3" s="1"/>
  <c r="B7" i="2"/>
  <c r="B6" i="2"/>
  <c r="C25" i="4"/>
  <c r="B5" i="2" s="1"/>
  <c r="D3" i="20" s="1"/>
  <c r="C14" i="8"/>
  <c r="E14" i="8" s="1"/>
  <c r="C9" i="8"/>
  <c r="A2" i="8"/>
  <c r="C18" i="7"/>
  <c r="B8" i="2" s="1"/>
  <c r="D6" i="20" s="1"/>
  <c r="A1" i="7"/>
  <c r="A1" i="6"/>
  <c r="A2" i="5"/>
  <c r="A2" i="4"/>
  <c r="B3" i="2"/>
  <c r="AE21" i="1"/>
  <c r="AD21" i="1"/>
  <c r="AB21" i="1"/>
  <c r="AE19" i="1"/>
  <c r="AD19" i="1"/>
  <c r="AB19" i="1"/>
  <c r="AE18" i="1"/>
  <c r="AD18" i="1"/>
  <c r="AB18" i="1"/>
  <c r="AE14" i="1"/>
  <c r="AD14" i="1"/>
  <c r="AB14" i="1"/>
  <c r="AE13" i="1"/>
  <c r="AD13" i="1"/>
  <c r="AB13" i="1"/>
  <c r="AE12" i="1"/>
  <c r="AD12" i="1"/>
  <c r="AB12" i="1"/>
  <c r="AE9" i="1"/>
  <c r="AD9" i="1"/>
  <c r="AB9" i="1"/>
  <c r="AE7" i="1"/>
  <c r="AD7" i="1"/>
  <c r="AB7" i="1"/>
  <c r="AE6" i="1"/>
  <c r="AD6" i="1"/>
  <c r="AB6" i="1"/>
  <c r="AE5" i="1"/>
  <c r="AD5" i="1"/>
  <c r="AB5" i="1"/>
  <c r="AE3" i="1"/>
  <c r="AD3" i="1"/>
  <c r="AB3" i="1"/>
  <c r="I340" i="15"/>
  <c r="G242" i="14"/>
  <c r="I3" i="12"/>
  <c r="I4"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I38" i="12" s="1"/>
  <c r="I39" i="12" s="1"/>
  <c r="I40" i="12" s="1"/>
  <c r="I41" i="12" s="1"/>
  <c r="I42" i="12" s="1"/>
  <c r="I43" i="12" s="1"/>
  <c r="I44" i="12" s="1"/>
  <c r="I45" i="12" s="1"/>
  <c r="I46" i="12" s="1"/>
  <c r="I47" i="12" s="1"/>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I68" i="12" s="1"/>
  <c r="I69" i="12" s="1"/>
  <c r="I70" i="12" s="1"/>
  <c r="I71" i="12" s="1"/>
  <c r="I72" i="12" s="1"/>
  <c r="I73" i="12" s="1"/>
  <c r="I74" i="12" s="1"/>
  <c r="I75" i="12" s="1"/>
  <c r="I76" i="12" s="1"/>
  <c r="I77" i="12" s="1"/>
  <c r="I78" i="12" s="1"/>
  <c r="I79" i="12" s="1"/>
  <c r="I80" i="12" s="1"/>
  <c r="I81" i="12" s="1"/>
  <c r="I82" i="12" s="1"/>
  <c r="K8" i="10"/>
  <c r="K7" i="10"/>
  <c r="K6" i="10"/>
  <c r="K5" i="10"/>
  <c r="K4" i="10"/>
  <c r="K3" i="10"/>
  <c r="M9" i="9"/>
  <c r="F9" i="9"/>
  <c r="F8" i="9"/>
  <c r="E9" i="9" s="1"/>
  <c r="E8" i="9"/>
  <c r="M7" i="9"/>
  <c r="F7" i="9"/>
  <c r="E7" i="9"/>
  <c r="C7" i="9"/>
  <c r="N6" i="9"/>
  <c r="M6" i="9"/>
  <c r="F6" i="9"/>
  <c r="E6" i="9" s="1"/>
  <c r="N1" i="9"/>
  <c r="K1" i="9"/>
  <c r="M28" i="8"/>
  <c r="F28" i="8"/>
  <c r="F27" i="8"/>
  <c r="E28" i="8" s="1"/>
  <c r="M26" i="8"/>
  <c r="F26" i="8"/>
  <c r="M24" i="8"/>
  <c r="F24" i="8"/>
  <c r="E26" i="8" s="1"/>
  <c r="F23" i="8"/>
  <c r="E23" i="8" s="1"/>
  <c r="F22" i="8"/>
  <c r="E22" i="8" s="1"/>
  <c r="M21" i="8"/>
  <c r="F21" i="8"/>
  <c r="E21" i="8" s="1"/>
  <c r="M20" i="8"/>
  <c r="F20" i="8"/>
  <c r="E20" i="8" s="1"/>
  <c r="M19" i="8"/>
  <c r="F19" i="8"/>
  <c r="E19" i="8" s="1"/>
  <c r="M18" i="8"/>
  <c r="F18" i="8"/>
  <c r="E18" i="8" s="1"/>
  <c r="M17" i="8"/>
  <c r="F17" i="8"/>
  <c r="E17" i="8" s="1"/>
  <c r="M16" i="8"/>
  <c r="F16" i="8"/>
  <c r="E16" i="8" s="1"/>
  <c r="M15" i="8"/>
  <c r="F15" i="8"/>
  <c r="E15" i="8" s="1"/>
  <c r="N14" i="8"/>
  <c r="M14" i="8"/>
  <c r="F14" i="8"/>
  <c r="M13" i="8"/>
  <c r="F13" i="8"/>
  <c r="E13" i="8" s="1"/>
  <c r="M12" i="8"/>
  <c r="F12" i="8"/>
  <c r="E12" i="8"/>
  <c r="M11" i="8"/>
  <c r="F11" i="8"/>
  <c r="E11" i="8" s="1"/>
  <c r="M10" i="8"/>
  <c r="F10" i="8"/>
  <c r="E10" i="8"/>
  <c r="N9" i="8"/>
  <c r="M9" i="8"/>
  <c r="F9" i="8"/>
  <c r="N8" i="8"/>
  <c r="M8" i="8"/>
  <c r="F8" i="8"/>
  <c r="E8" i="8" s="1"/>
  <c r="N7" i="8"/>
  <c r="M7" i="8"/>
  <c r="F7" i="8"/>
  <c r="E7" i="8" s="1"/>
  <c r="N6" i="8"/>
  <c r="M6" i="8"/>
  <c r="F6" i="8"/>
  <c r="E6" i="8"/>
  <c r="N5" i="8"/>
  <c r="M5" i="8"/>
  <c r="F5" i="8"/>
  <c r="C5" i="8"/>
  <c r="E5" i="8" s="1"/>
  <c r="N1" i="8"/>
  <c r="K1" i="8"/>
  <c r="K18" i="7"/>
  <c r="J18" i="7"/>
  <c r="I18" i="7"/>
  <c r="H18" i="7"/>
  <c r="G17" i="7"/>
  <c r="F17" i="7" s="1"/>
  <c r="G13" i="7"/>
  <c r="F13" i="7" s="1"/>
  <c r="G12" i="7"/>
  <c r="F12" i="7" s="1"/>
  <c r="G11" i="7"/>
  <c r="F11" i="7" s="1"/>
  <c r="G10" i="7"/>
  <c r="F10" i="7" s="1"/>
  <c r="G9" i="7"/>
  <c r="F9" i="7" s="1"/>
  <c r="G8" i="7"/>
  <c r="F8" i="7" s="1"/>
  <c r="G7" i="7"/>
  <c r="F7" i="7" s="1"/>
  <c r="G6" i="7"/>
  <c r="F6" i="7" s="1"/>
  <c r="G5" i="7"/>
  <c r="G4" i="7"/>
  <c r="F4" i="7" s="1"/>
  <c r="K13" i="6"/>
  <c r="J13" i="6"/>
  <c r="I13" i="6"/>
  <c r="H13" i="6"/>
  <c r="F12" i="6"/>
  <c r="F10" i="6"/>
  <c r="F9" i="6"/>
  <c r="F8" i="6"/>
  <c r="F6" i="6"/>
  <c r="F5" i="6"/>
  <c r="G4" i="6"/>
  <c r="F4" i="6" s="1"/>
  <c r="K17" i="5"/>
  <c r="J17" i="5"/>
  <c r="I17" i="5"/>
  <c r="H17" i="5"/>
  <c r="G17" i="5"/>
  <c r="D6" i="2" s="1"/>
  <c r="F15" i="5"/>
  <c r="F13" i="5"/>
  <c r="F12" i="5"/>
  <c r="F11" i="5"/>
  <c r="F10" i="5"/>
  <c r="F9" i="5"/>
  <c r="F8" i="5"/>
  <c r="F7" i="5"/>
  <c r="F6" i="5"/>
  <c r="F5" i="5"/>
  <c r="P2" i="5"/>
  <c r="P3" i="5" s="1"/>
  <c r="O2" i="5"/>
  <c r="O3" i="5" s="1"/>
  <c r="E1" i="5"/>
  <c r="L24" i="4"/>
  <c r="G24" i="4"/>
  <c r="F24" i="4" s="1"/>
  <c r="G20" i="4"/>
  <c r="F20" i="4" s="1"/>
  <c r="G19" i="4"/>
  <c r="F19" i="4" s="1"/>
  <c r="G18" i="4"/>
  <c r="AA21" i="1" s="1"/>
  <c r="G17" i="4"/>
  <c r="AA19" i="1" s="1"/>
  <c r="G16" i="4"/>
  <c r="AA18" i="1" s="1"/>
  <c r="G15" i="4"/>
  <c r="F15" i="4" s="1"/>
  <c r="G14" i="4"/>
  <c r="AA14" i="1" s="1"/>
  <c r="G13" i="4"/>
  <c r="F13" i="4" s="1"/>
  <c r="G12" i="4"/>
  <c r="AA12" i="1" s="1"/>
  <c r="G11" i="4"/>
  <c r="AA9" i="1" s="1"/>
  <c r="G10" i="4"/>
  <c r="F10" i="4"/>
  <c r="G9" i="4"/>
  <c r="AA7" i="1" s="1"/>
  <c r="F9" i="4"/>
  <c r="G8" i="4"/>
  <c r="F8" i="4" s="1"/>
  <c r="G7" i="4"/>
  <c r="AA6" i="1" s="1"/>
  <c r="AA5" i="1"/>
  <c r="G6" i="4"/>
  <c r="F6" i="4"/>
  <c r="G5" i="4"/>
  <c r="AA3" i="1" s="1"/>
  <c r="E1" i="4"/>
  <c r="K45" i="3"/>
  <c r="K44" i="3"/>
  <c r="J44" i="3" s="1"/>
  <c r="K43" i="3"/>
  <c r="K42" i="3"/>
  <c r="K41" i="3"/>
  <c r="K40" i="3"/>
  <c r="J40" i="3" s="1"/>
  <c r="M30" i="3"/>
  <c r="J29" i="3"/>
  <c r="I29" i="3"/>
  <c r="H29" i="3"/>
  <c r="G29" i="3"/>
  <c r="E28" i="3"/>
  <c r="F28" i="3" s="1"/>
  <c r="E25" i="3"/>
  <c r="F25" i="3" s="1"/>
  <c r="N24" i="3"/>
  <c r="E24" i="3"/>
  <c r="F24" i="3" s="1"/>
  <c r="E23" i="3"/>
  <c r="E22" i="3"/>
  <c r="F22" i="3" s="1"/>
  <c r="F21" i="3"/>
  <c r="E20" i="3"/>
  <c r="F20" i="3" s="1"/>
  <c r="E19" i="3"/>
  <c r="F19" i="3" s="1"/>
  <c r="E18" i="3"/>
  <c r="F18" i="3" s="1"/>
  <c r="E17" i="3"/>
  <c r="F17" i="3" s="1"/>
  <c r="P16" i="3"/>
  <c r="E16" i="3"/>
  <c r="F16" i="3" s="1"/>
  <c r="E15" i="3"/>
  <c r="F15" i="3" s="1"/>
  <c r="E14" i="3"/>
  <c r="F14" i="3" s="1"/>
  <c r="E13" i="3"/>
  <c r="F13" i="3" s="1"/>
  <c r="E12" i="3"/>
  <c r="F12" i="3" s="1"/>
  <c r="E10" i="3"/>
  <c r="R9" i="3"/>
  <c r="E9" i="3"/>
  <c r="F9" i="3" s="1"/>
  <c r="R8" i="3"/>
  <c r="E8" i="3"/>
  <c r="F8" i="3" s="1"/>
  <c r="E7" i="3"/>
  <c r="F7" i="3" s="1"/>
  <c r="R6" i="3"/>
  <c r="E6" i="3"/>
  <c r="F6" i="3" s="1"/>
  <c r="R5" i="3"/>
  <c r="N5" i="3"/>
  <c r="E5" i="3"/>
  <c r="F5" i="3" s="1"/>
  <c r="R2" i="3"/>
  <c r="R3" i="3" s="1"/>
  <c r="Q2" i="3"/>
  <c r="Q3" i="3" s="1"/>
  <c r="N1" i="3"/>
  <c r="K1" i="3"/>
  <c r="C1" i="3"/>
  <c r="Y34" i="1"/>
  <c r="S29" i="1"/>
  <c r="R29" i="1"/>
  <c r="S28" i="1"/>
  <c r="R28" i="1"/>
  <c r="S27" i="1"/>
  <c r="R27" i="1"/>
  <c r="S26" i="1"/>
  <c r="R26" i="1"/>
  <c r="S25" i="1"/>
  <c r="R25" i="1"/>
  <c r="S24" i="1"/>
  <c r="R24" i="1"/>
  <c r="R31" i="1" s="1"/>
  <c r="S23" i="1"/>
  <c r="R23" i="1"/>
  <c r="S22" i="1"/>
  <c r="R22" i="1"/>
  <c r="S21" i="1"/>
  <c r="R21" i="1"/>
  <c r="S20" i="1"/>
  <c r="R20" i="1"/>
  <c r="S19" i="1"/>
  <c r="R19" i="1"/>
  <c r="AW18" i="1"/>
  <c r="AK18" i="1"/>
  <c r="S18" i="1"/>
  <c r="R18" i="1"/>
  <c r="S17" i="1"/>
  <c r="R17" i="1"/>
  <c r="AQ16" i="1"/>
  <c r="S16" i="1"/>
  <c r="R16" i="1"/>
  <c r="S15" i="1"/>
  <c r="R15" i="1"/>
  <c r="S14" i="1"/>
  <c r="R14" i="1"/>
  <c r="S13" i="1"/>
  <c r="R13" i="1"/>
  <c r="S12" i="1"/>
  <c r="R12" i="1"/>
  <c r="S11" i="1"/>
  <c r="R11" i="1"/>
  <c r="S10" i="1"/>
  <c r="R10" i="1"/>
  <c r="R32" i="1" s="1"/>
  <c r="S9" i="1"/>
  <c r="R9" i="1"/>
  <c r="S8" i="1"/>
  <c r="R8" i="1"/>
  <c r="S7" i="1"/>
  <c r="R7" i="1"/>
  <c r="S6" i="1"/>
  <c r="R6" i="1"/>
  <c r="S5" i="1"/>
  <c r="R5" i="1"/>
  <c r="S4" i="1"/>
  <c r="R4" i="1"/>
  <c r="S3" i="1"/>
  <c r="R3" i="1"/>
  <c r="S2" i="1"/>
  <c r="R2" i="1"/>
  <c r="G13" i="6" l="1"/>
  <c r="J46" i="3"/>
  <c r="S3" i="3"/>
  <c r="K46" i="3"/>
  <c r="K47" i="3"/>
  <c r="F29" i="3"/>
  <c r="E9" i="8"/>
  <c r="E29" i="8" s="1"/>
  <c r="E9" i="2" s="1"/>
  <c r="F5" i="7"/>
  <c r="AE24" i="1"/>
  <c r="E29" i="3"/>
  <c r="G18" i="7"/>
  <c r="D8" i="2" s="1"/>
  <c r="F17" i="5"/>
  <c r="E6" i="2" s="1"/>
  <c r="D4" i="20" s="1"/>
  <c r="F5" i="4"/>
  <c r="AA13" i="1"/>
  <c r="G25" i="4"/>
  <c r="F25" i="4" s="1"/>
  <c r="E5" i="2" s="1"/>
  <c r="R30" i="1"/>
  <c r="S30" i="1"/>
  <c r="F29" i="8"/>
  <c r="D9" i="2" s="1"/>
  <c r="K9" i="10"/>
  <c r="I84" i="12"/>
  <c r="I85" i="12" s="1"/>
  <c r="I86" i="12" s="1"/>
  <c r="I87" i="12" s="1"/>
  <c r="I88" i="12" s="1"/>
  <c r="I89" i="12" s="1"/>
  <c r="I90" i="12" s="1"/>
  <c r="I91" i="12" s="1"/>
  <c r="I92" i="12" s="1"/>
  <c r="I93" i="12" s="1"/>
  <c r="I94" i="12" s="1"/>
  <c r="I95" i="12" s="1"/>
  <c r="I96" i="12" s="1"/>
  <c r="I97" i="12" s="1"/>
  <c r="I98" i="12" s="1"/>
  <c r="I99" i="12" s="1"/>
  <c r="I100" i="12" s="1"/>
  <c r="I101" i="12" s="1"/>
  <c r="I102" i="12" s="1"/>
  <c r="I103" i="12" s="1"/>
  <c r="I104" i="12" s="1"/>
  <c r="I105" i="12" s="1"/>
  <c r="I106" i="12" s="1"/>
  <c r="I107" i="12" s="1"/>
  <c r="I108" i="12" s="1"/>
  <c r="I109" i="12" s="1"/>
  <c r="I110" i="12" s="1"/>
  <c r="I111" i="12" s="1"/>
  <c r="I112" i="12" s="1"/>
  <c r="I113" i="12" s="1"/>
  <c r="I114" i="12" s="1"/>
  <c r="I115" i="12" s="1"/>
  <c r="I116" i="12" s="1"/>
  <c r="I83" i="12"/>
  <c r="Q3" i="5"/>
  <c r="F13" i="6"/>
  <c r="E7" i="2" s="1"/>
  <c r="D5" i="20" s="1"/>
  <c r="D7" i="2"/>
  <c r="R34" i="1"/>
  <c r="R35" i="1" s="1"/>
  <c r="F11" i="4"/>
  <c r="F18" i="4"/>
  <c r="F12" i="4"/>
  <c r="F7" i="4"/>
  <c r="F16" i="4"/>
  <c r="F18" i="7" l="1"/>
  <c r="E8" i="2" s="1"/>
  <c r="E10" i="2" s="1"/>
  <c r="D3" i="2"/>
  <c r="E3" i="2" s="1"/>
  <c r="K48" i="3"/>
  <c r="D5" i="2"/>
  <c r="D10" i="2" s="1"/>
  <c r="I118" i="12"/>
  <c r="I119" i="12" s="1"/>
  <c r="I120" i="12" s="1"/>
  <c r="I121" i="12" s="1"/>
  <c r="I122" i="12" s="1"/>
  <c r="I123" i="12" s="1"/>
  <c r="I124" i="12" s="1"/>
  <c r="I125" i="12" s="1"/>
  <c r="I126" i="12" s="1"/>
  <c r="I127" i="12" s="1"/>
  <c r="I128" i="12" s="1"/>
  <c r="I129" i="12" s="1"/>
  <c r="I130" i="12" s="1"/>
  <c r="I131" i="12" s="1"/>
  <c r="I132" i="12" s="1"/>
  <c r="I133" i="12" s="1"/>
  <c r="I134" i="12" s="1"/>
  <c r="I135" i="12" s="1"/>
  <c r="I136" i="12" s="1"/>
  <c r="I137" i="12" s="1"/>
  <c r="I138" i="12" s="1"/>
  <c r="I139" i="12" s="1"/>
  <c r="I140" i="12" s="1"/>
  <c r="I141" i="12" s="1"/>
  <c r="I142" i="12" s="1"/>
  <c r="I143" i="12" s="1"/>
  <c r="I144" i="12" s="1"/>
  <c r="I145" i="12" s="1"/>
  <c r="I146" i="12" s="1"/>
  <c r="I147" i="12" s="1"/>
  <c r="I148" i="12" s="1"/>
  <c r="I149" i="12" s="1"/>
  <c r="I150" i="12" s="1"/>
  <c r="I151" i="12" s="1"/>
  <c r="I152" i="12" s="1"/>
  <c r="I117" i="12"/>
  <c r="D11" i="2" l="1"/>
  <c r="I154" i="12"/>
  <c r="I155" i="12" s="1"/>
  <c r="I156" i="12" s="1"/>
  <c r="I157" i="12" s="1"/>
  <c r="I158" i="12" s="1"/>
  <c r="I159" i="12" s="1"/>
  <c r="I160" i="12" s="1"/>
  <c r="I161" i="12" s="1"/>
  <c r="I162" i="12" s="1"/>
  <c r="I163" i="12" s="1"/>
  <c r="I164" i="12" s="1"/>
  <c r="I165" i="12" s="1"/>
  <c r="I166" i="12" s="1"/>
  <c r="I167" i="12" s="1"/>
  <c r="I168" i="12" s="1"/>
  <c r="I169" i="12" s="1"/>
  <c r="I170" i="12" s="1"/>
  <c r="I171" i="12" s="1"/>
  <c r="I172" i="12" s="1"/>
  <c r="I173" i="12" s="1"/>
  <c r="I153" i="12"/>
  <c r="E24" i="10"/>
  <c r="E26" i="10" s="1"/>
  <c r="C29" i="8"/>
  <c r="B9" i="2" s="1"/>
  <c r="E27" i="8"/>
  <c r="B10" i="2" l="1"/>
  <c r="B11" i="2" s="1"/>
  <c r="D7" i="20"/>
  <c r="D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JSM</author>
  </authors>
  <commentList>
    <comment ref="N5" authorId="0" shapeId="0" xr:uid="{00000000-0006-0000-0200-000001000000}">
      <text>
        <r>
          <rPr>
            <b/>
            <sz val="9"/>
            <color rgb="FF000000"/>
            <rFont val="Arial"/>
            <family val="2"/>
          </rPr>
          <t xml:space="preserve">Author:
</t>
        </r>
        <r>
          <rPr>
            <sz val="9"/>
            <color rgb="FF000000"/>
            <rFont val="Arial"/>
            <family val="2"/>
          </rPr>
          <t>=((484*36)+(12*10))*85.5%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JSM</author>
  </authors>
  <commentList>
    <comment ref="B6" authorId="0" shapeId="0" xr:uid="{00000000-0006-0000-0700-000001000000}">
      <text>
        <r>
          <rPr>
            <b/>
            <sz val="9"/>
            <color rgb="FF000000"/>
            <rFont val="Arial"/>
            <family val="2"/>
          </rPr>
          <t xml:space="preserve">Richard Lee: 01 MAY23: Items O1, O2, O3, O5 have all been paid for this year.  No add'l expenditures expected: $949.23 available.
</t>
        </r>
      </text>
    </comment>
  </commentList>
</comments>
</file>

<file path=xl/sharedStrings.xml><?xml version="1.0" encoding="utf-8"?>
<sst xmlns="http://schemas.openxmlformats.org/spreadsheetml/2006/main" count="6292" uniqueCount="1367">
  <si>
    <t>LINE #</t>
  </si>
  <si>
    <t>Description</t>
  </si>
  <si>
    <t>Budget</t>
  </si>
  <si>
    <t>Debit</t>
  </si>
  <si>
    <t>Credit</t>
  </si>
  <si>
    <t>Number</t>
  </si>
  <si>
    <t>Date</t>
  </si>
  <si>
    <t>LIne #</t>
  </si>
  <si>
    <t>Column 1</t>
  </si>
  <si>
    <t>Row Labels</t>
  </si>
  <si>
    <t>Sum of Debit</t>
  </si>
  <si>
    <t>Sum of Credit</t>
  </si>
  <si>
    <t>Err:520</t>
  </si>
  <si>
    <t>C11</t>
  </si>
  <si>
    <t>Children's Christmas Party</t>
  </si>
  <si>
    <t>C10</t>
  </si>
  <si>
    <t>F4</t>
  </si>
  <si>
    <t>Spaghetti Supplies</t>
  </si>
  <si>
    <t>All Night Grad Party - Bishop Ireton</t>
  </si>
  <si>
    <t>C45</t>
  </si>
  <si>
    <t>I1</t>
  </si>
  <si>
    <t>Dues</t>
  </si>
  <si>
    <t>All Night Grad Party - PVI</t>
  </si>
  <si>
    <t>I10</t>
  </si>
  <si>
    <t>Pancake Breakfast (Squires)</t>
  </si>
  <si>
    <t>All Night Grad Party - Robinson</t>
  </si>
  <si>
    <t>I19</t>
  </si>
  <si>
    <t>HELMET (I19)</t>
  </si>
  <si>
    <t>I2</t>
  </si>
  <si>
    <t>PKD</t>
  </si>
  <si>
    <t>C13</t>
  </si>
  <si>
    <t>PKD (I2)</t>
  </si>
  <si>
    <t>Seminarian Support - Baran, Wealkes, Petroski</t>
  </si>
  <si>
    <t>I21</t>
  </si>
  <si>
    <t>50/50 (I21)</t>
  </si>
  <si>
    <t>Squire Seminarian - R. Malebrander</t>
  </si>
  <si>
    <t>I22</t>
  </si>
  <si>
    <t>50/50</t>
  </si>
  <si>
    <t>C14</t>
  </si>
  <si>
    <t>I23</t>
  </si>
  <si>
    <t>Dues Donations</t>
  </si>
  <si>
    <t>American Heritage Girls</t>
  </si>
  <si>
    <t>Thanksgiving Basket Donations</t>
  </si>
  <si>
    <t>Eagle Project</t>
  </si>
  <si>
    <t>I27</t>
  </si>
  <si>
    <t>Assembly Pass Through</t>
  </si>
  <si>
    <t>Scouts</t>
  </si>
  <si>
    <t>I9</t>
  </si>
  <si>
    <t>Christmas Tree Sales</t>
  </si>
  <si>
    <t>C15</t>
  </si>
  <si>
    <t>Total</t>
  </si>
  <si>
    <t>O18</t>
  </si>
  <si>
    <t>Rich Lalich - Badges</t>
  </si>
  <si>
    <t>St Mary Youth</t>
  </si>
  <si>
    <t>O27</t>
  </si>
  <si>
    <t>GK Holiday Party - Lucy Schliebaum</t>
  </si>
  <si>
    <t>C16</t>
  </si>
  <si>
    <t>O31</t>
  </si>
  <si>
    <t>Food  Basket Pass through</t>
  </si>
  <si>
    <t>St Mary VBS</t>
  </si>
  <si>
    <t>O33</t>
  </si>
  <si>
    <t>C17</t>
  </si>
  <si>
    <t>Bingo Drinks</t>
  </si>
  <si>
    <t>F6</t>
  </si>
  <si>
    <t>KCIC Cards</t>
  </si>
  <si>
    <t>Bingo Food/Drinks</t>
  </si>
  <si>
    <t>Bingo Supplies</t>
  </si>
  <si>
    <t>Pancake Breakfast (I10)</t>
  </si>
  <si>
    <t>C18</t>
  </si>
  <si>
    <t>I16</t>
  </si>
  <si>
    <t>Celebrate Fairfax</t>
  </si>
  <si>
    <t>Bingo Pass Through - Reece's Rainbow</t>
  </si>
  <si>
    <t>Bingo Pass Through - Teach</t>
  </si>
  <si>
    <t>Donation</t>
  </si>
  <si>
    <t>Bingo Pass Thru - A Best Choice</t>
  </si>
  <si>
    <t>Food Basket Pass Through</t>
  </si>
  <si>
    <t>Sisters of La Salette - Bingo Pass Through</t>
  </si>
  <si>
    <t>C2</t>
  </si>
  <si>
    <t>Improve A Home</t>
  </si>
  <si>
    <t>C4</t>
  </si>
  <si>
    <t>dues</t>
  </si>
  <si>
    <t>I24</t>
  </si>
  <si>
    <t>Shirt Order</t>
  </si>
  <si>
    <t>phh Mortgage - duffy loan</t>
  </si>
  <si>
    <t>vkcci - duffy payback - Pass Thru</t>
  </si>
  <si>
    <t>O11</t>
  </si>
  <si>
    <t>Verizon Phone</t>
  </si>
  <si>
    <t>C5</t>
  </si>
  <si>
    <t>O12</t>
  </si>
  <si>
    <t>Web Support - Weebly</t>
  </si>
  <si>
    <t>Mass Cards</t>
  </si>
  <si>
    <t>O16</t>
  </si>
  <si>
    <t>POSTAGE</t>
  </si>
  <si>
    <t>C6</t>
  </si>
  <si>
    <t>Jovic Embrodery - Hats</t>
  </si>
  <si>
    <t>Poster Contest Winner</t>
  </si>
  <si>
    <t>O19</t>
  </si>
  <si>
    <t>Meeting Food</t>
  </si>
  <si>
    <t>C9</t>
  </si>
  <si>
    <t>Baker Scholarship</t>
  </si>
  <si>
    <t>O6</t>
  </si>
  <si>
    <t>Supreme Supplies/Culture of Life</t>
  </si>
  <si>
    <t>Scholarships</t>
  </si>
  <si>
    <t>F12</t>
  </si>
  <si>
    <t>Easter Egg Hunt</t>
  </si>
  <si>
    <t>F13</t>
  </si>
  <si>
    <t>Alter Servers Picnic</t>
  </si>
  <si>
    <t>F5</t>
  </si>
  <si>
    <t>Pancake Supplies</t>
  </si>
  <si>
    <t>F2</t>
  </si>
  <si>
    <t>Polish Night</t>
  </si>
  <si>
    <t>1st Degree Initiation Fee (I22)</t>
  </si>
  <si>
    <t>Pancake Repair</t>
  </si>
  <si>
    <t>I7</t>
  </si>
  <si>
    <t>FOOD (I7)</t>
  </si>
  <si>
    <t>O24</t>
  </si>
  <si>
    <t>5 Car Raffle Postage Supplies</t>
  </si>
  <si>
    <t>F7</t>
  </si>
  <si>
    <t>Council Picnic Suipplies - Sheridan</t>
  </si>
  <si>
    <t>O7</t>
  </si>
  <si>
    <t>3rd Degree Lunch - Exemplification</t>
  </si>
  <si>
    <t>H13</t>
  </si>
  <si>
    <t>Blank</t>
  </si>
  <si>
    <t>Lenten Soup Supper Bread</t>
  </si>
  <si>
    <t>H4</t>
  </si>
  <si>
    <t>Priest Gift - Fr Barkett</t>
  </si>
  <si>
    <t>Priest Gift - Fr Greenhaulgh</t>
  </si>
  <si>
    <t>Priest Gift - Fr Peffley</t>
  </si>
  <si>
    <t>I11</t>
  </si>
  <si>
    <t>Spaghetti Dinner</t>
  </si>
  <si>
    <t>Priest Gift - Fr Rushkamp</t>
  </si>
  <si>
    <t>H7</t>
  </si>
  <si>
    <t>St Mary Donation</t>
  </si>
  <si>
    <t>H9</t>
  </si>
  <si>
    <t>Prayer Breakfast Table</t>
  </si>
  <si>
    <t>Bank Refund</t>
  </si>
  <si>
    <t>Helmet (I10)</t>
  </si>
  <si>
    <t>O26</t>
  </si>
  <si>
    <t>State Bowling</t>
  </si>
  <si>
    <t>Supreme</t>
  </si>
  <si>
    <t>Pancake Breakfast Rebate (I10)</t>
  </si>
  <si>
    <t>I12</t>
  </si>
  <si>
    <t>I14</t>
  </si>
  <si>
    <t>"Keep Christ in Christmas" Card Sales</t>
  </si>
  <si>
    <t>I15</t>
  </si>
  <si>
    <t>Five Car Raffle</t>
  </si>
  <si>
    <t>I15A</t>
  </si>
  <si>
    <t>I17</t>
  </si>
  <si>
    <t>Bingo (I17)</t>
  </si>
  <si>
    <t>Helmet (I19)</t>
  </si>
  <si>
    <t>50\50</t>
  </si>
  <si>
    <t>I18</t>
  </si>
  <si>
    <t>VA Football Raffle</t>
  </si>
  <si>
    <t>Military Archdioceses Donation</t>
  </si>
  <si>
    <t>Other Donations</t>
  </si>
  <si>
    <t>I20</t>
  </si>
  <si>
    <t>Courage Lion program (State)</t>
  </si>
  <si>
    <t>Aluminum Cans</t>
  </si>
  <si>
    <t>Frames</t>
  </si>
  <si>
    <t>Alter Donation</t>
  </si>
  <si>
    <t>Donations</t>
  </si>
  <si>
    <t>General Donation</t>
  </si>
  <si>
    <t>FFX County Softball</t>
  </si>
  <si>
    <t>O8</t>
  </si>
  <si>
    <t>State Meeting Ad</t>
  </si>
  <si>
    <t>VKCII Check</t>
  </si>
  <si>
    <t>State Meeting Hospitality Suite</t>
  </si>
  <si>
    <t>I4</t>
  </si>
  <si>
    <t>KOVAR</t>
  </si>
  <si>
    <t>Web Support - Net Fonts</t>
  </si>
  <si>
    <t>I5</t>
  </si>
  <si>
    <t>O23</t>
  </si>
  <si>
    <t>5 Car Raffle - All Saints</t>
  </si>
  <si>
    <t>Squires Pancake Breakfast (I10)</t>
  </si>
  <si>
    <t>State Bingo Prize Pass Through</t>
  </si>
  <si>
    <t>I5a</t>
  </si>
  <si>
    <t>Virginia McGivney VA Center Flags</t>
  </si>
  <si>
    <t>Food</t>
  </si>
  <si>
    <t>L1</t>
  </si>
  <si>
    <t>marian Homes</t>
  </si>
  <si>
    <t>L12</t>
  </si>
  <si>
    <t>marih center - new born support</t>
  </si>
  <si>
    <t>L2</t>
  </si>
  <si>
    <t>Mountain View School</t>
  </si>
  <si>
    <t>L3</t>
  </si>
  <si>
    <t>paul Stefan Foundation</t>
  </si>
  <si>
    <t>L4</t>
  </si>
  <si>
    <t>Kovar Supplies - TriSales Inc</t>
  </si>
  <si>
    <t>L9</t>
  </si>
  <si>
    <t>March for Life Bus - St Mary</t>
  </si>
  <si>
    <t>O1</t>
  </si>
  <si>
    <t>Culture of Life</t>
  </si>
  <si>
    <t xml:space="preserve">Web Site Management </t>
  </si>
  <si>
    <t>O15</t>
  </si>
  <si>
    <t>travelers insurance</t>
  </si>
  <si>
    <t>Rich Lalich - Badges - Rutkowski</t>
  </si>
  <si>
    <t>Council Meetings Food</t>
  </si>
  <si>
    <t>O2</t>
  </si>
  <si>
    <t>Catholic advertising</t>
  </si>
  <si>
    <t>Web Site Management</t>
  </si>
  <si>
    <t>O22</t>
  </si>
  <si>
    <t>Robotics Club</t>
  </si>
  <si>
    <t>O25</t>
  </si>
  <si>
    <t>O28</t>
  </si>
  <si>
    <t>Officer Installation</t>
  </si>
  <si>
    <t>O29</t>
  </si>
  <si>
    <t>christmas tree supplies</t>
  </si>
  <si>
    <t>Supreme Supplies</t>
  </si>
  <si>
    <t>Christmas Trees Permit</t>
  </si>
  <si>
    <t>O3</t>
  </si>
  <si>
    <t>State of VA Assessment/Annual</t>
  </si>
  <si>
    <t>O30</t>
  </si>
  <si>
    <t>Christmas Trees</t>
  </si>
  <si>
    <t>COMPASSIONATE FRIENDS</t>
  </si>
  <si>
    <t xml:space="preserve">Robotics Club </t>
  </si>
  <si>
    <t>O5</t>
  </si>
  <si>
    <t>per Capita</t>
  </si>
  <si>
    <t>Degree Supplies</t>
  </si>
  <si>
    <t>admin supplies</t>
  </si>
  <si>
    <t>GRILL COVER</t>
  </si>
  <si>
    <t>irs - tax penalty</t>
  </si>
  <si>
    <t>Officer Badges</t>
  </si>
  <si>
    <t>Kovar</t>
  </si>
  <si>
    <t>(blank)</t>
  </si>
  <si>
    <t>Grand Total</t>
  </si>
  <si>
    <t>c14</t>
  </si>
  <si>
    <t>c17</t>
  </si>
  <si>
    <t>bingo supplies</t>
  </si>
  <si>
    <t>Spaghetti supplies</t>
  </si>
  <si>
    <t>c13</t>
  </si>
  <si>
    <t>o6</t>
  </si>
  <si>
    <t>`</t>
  </si>
  <si>
    <t>christmas trees</t>
  </si>
  <si>
    <t>c18</t>
  </si>
  <si>
    <t xml:space="preserve">    </t>
  </si>
  <si>
    <t>Income / Revenue</t>
  </si>
  <si>
    <t>Expenses</t>
  </si>
  <si>
    <t>Cumulative Expenditures</t>
  </si>
  <si>
    <t>Budget Remaining</t>
  </si>
  <si>
    <t>Community Program</t>
  </si>
  <si>
    <t>Family Program</t>
  </si>
  <si>
    <t>Faith Program</t>
  </si>
  <si>
    <t>Life Program</t>
  </si>
  <si>
    <t>Council Operations</t>
  </si>
  <si>
    <t>Total expenses</t>
  </si>
  <si>
    <t>Income minus expenses</t>
  </si>
  <si>
    <t>GK Notes</t>
  </si>
  <si>
    <t>1.  The first principle of our order is Charity.</t>
  </si>
  <si>
    <t xml:space="preserve">2. We will closely track and periodically report our actual expenses versus our budget, so as to (1) provide a measure of how effective our forecasting was and (2) allow for possible redistribution of programmed expenses which have not occurred, subject to approval by the council.   </t>
  </si>
  <si>
    <t xml:space="preserve">Income </t>
  </si>
  <si>
    <t>As of:  06/20/19</t>
  </si>
  <si>
    <t>Activity</t>
  </si>
  <si>
    <t>Source of Funds</t>
  </si>
  <si>
    <t>Cumulative Income</t>
  </si>
  <si>
    <r>
      <t>Surplus</t>
    </r>
    <r>
      <rPr>
        <sz val="9"/>
        <color rgb="FFFF0000"/>
        <rFont val="Arial"/>
        <family val="2"/>
      </rPr>
      <t xml:space="preserve"> or</t>
    </r>
    <r>
      <rPr>
        <b/>
        <sz val="9"/>
        <color rgb="FFFF0000"/>
        <rFont val="Arial"/>
        <family val="2"/>
      </rPr>
      <t xml:space="preserve"> Shortfall</t>
    </r>
  </si>
  <si>
    <t>Q1
[JUL-SEP 2024]</t>
  </si>
  <si>
    <t>Q2
[OCT-DEC 2024]</t>
  </si>
  <si>
    <t>Q3
[JAN-MAR 2025]</t>
  </si>
  <si>
    <t>Q4
[APR-JUN 2025]</t>
  </si>
  <si>
    <t>Notes/Comments</t>
  </si>
  <si>
    <t>Actual income</t>
  </si>
  <si>
    <t>Actual Expenses</t>
  </si>
  <si>
    <t>POC</t>
  </si>
  <si>
    <t>Notes</t>
  </si>
  <si>
    <t>Part One:  Income / Revenue</t>
  </si>
  <si>
    <t xml:space="preserve"> See note below the table.</t>
  </si>
  <si>
    <t>FS</t>
  </si>
  <si>
    <t>NMS</t>
  </si>
  <si>
    <t xml:space="preserve">$15 per new members.  </t>
  </si>
  <si>
    <t>I3</t>
  </si>
  <si>
    <t>Trees</t>
  </si>
  <si>
    <t>Trees cost more with higher delivery prices but still made money</t>
  </si>
  <si>
    <t>Pancake Breakfasts</t>
  </si>
  <si>
    <t>PCB</t>
  </si>
  <si>
    <t>Donation based for 8 breakfasts (parish pays for one).  Attendance is declining with the opening of the new church</t>
  </si>
  <si>
    <t>Moratta</t>
  </si>
  <si>
    <t>This should equal 9 breakfasts at $670</t>
  </si>
  <si>
    <t>Spaghetti Dinners</t>
  </si>
  <si>
    <t>SD</t>
  </si>
  <si>
    <r>
      <t>Donation based for 8 dinners (parish pays for one).</t>
    </r>
    <r>
      <rPr>
        <sz val="9"/>
        <color rgb="FFFF0000"/>
        <rFont val="Arial"/>
        <family val="2"/>
      </rPr>
      <t xml:space="preserve">  </t>
    </r>
    <r>
      <rPr>
        <sz val="9"/>
        <color theme="1"/>
        <rFont val="Arial"/>
        <family val="2"/>
      </rPr>
      <t>Attendance was low last FY compared to prior years</t>
    </r>
  </si>
  <si>
    <t>PGK Cella/PGK Sharp</t>
  </si>
  <si>
    <t>Donation Based for 8 dinners (approx. 670 per breakfast)</t>
  </si>
  <si>
    <t>I6</t>
  </si>
  <si>
    <t>Chicken Dinner Sales</t>
  </si>
  <si>
    <t>CD</t>
  </si>
  <si>
    <t>We hope to sell 700 dinners @ $13.00 each pre-sale and $15.00 on Labor Day</t>
  </si>
  <si>
    <t>Osborne</t>
  </si>
  <si>
    <t>Fish Fry Lenten Meals</t>
  </si>
  <si>
    <t>LFF</t>
  </si>
  <si>
    <t>TBD</t>
  </si>
  <si>
    <t>I8</t>
  </si>
  <si>
    <t>Operations/
Misc Activity Income</t>
  </si>
  <si>
    <t>Ops</t>
  </si>
  <si>
    <t>For undefined income not captured elsewhere</t>
  </si>
  <si>
    <t>This is for a new income unplanned income</t>
  </si>
  <si>
    <t>Family Bingo</t>
  </si>
  <si>
    <t>BFD</t>
  </si>
  <si>
    <t>Community Director</t>
  </si>
  <si>
    <t>average $1500 per game gross income</t>
  </si>
  <si>
    <t>FS / KOVAR Lead</t>
  </si>
  <si>
    <t>Refund Support Vocation Program (RSVP)</t>
  </si>
  <si>
    <t>RSVP</t>
  </si>
  <si>
    <t>Stipends from Supreme  for council financial support to seminarians and postulants (see H1)</t>
  </si>
  <si>
    <t>Faith program</t>
  </si>
  <si>
    <t>Council submit RSPV Refund Support form to get $100 for every $500 donation</t>
  </si>
  <si>
    <t>Meetings (Council Meals)</t>
  </si>
  <si>
    <t>CM</t>
  </si>
  <si>
    <t>Warden</t>
  </si>
  <si>
    <t>This amount can be changed by a mandatory $ fee per meal.  This equals approximately $50 per meeting in donations.</t>
  </si>
  <si>
    <t>I13</t>
  </si>
  <si>
    <t>Improve a home donations</t>
  </si>
  <si>
    <t>IAHD</t>
  </si>
  <si>
    <t>Modest financial contributions are expected</t>
  </si>
  <si>
    <t>Hartle</t>
  </si>
  <si>
    <t>State Council NFL Football Sweepstakes ticket sales</t>
  </si>
  <si>
    <t>SFS</t>
  </si>
  <si>
    <t xml:space="preserve"> Amount dependent on # of tickets and sales. The DD distributed a book of 9 tickets already.  We receive 20% of the total ticket sales   </t>
  </si>
  <si>
    <t>DGK</t>
  </si>
  <si>
    <t>80% of sales returns to State Council</t>
  </si>
  <si>
    <t>PN</t>
  </si>
  <si>
    <t>PGK Obuchowski</t>
  </si>
  <si>
    <t>Free Dinner for all Knights, Donation for selected Charity (Charity is pass through)</t>
  </si>
  <si>
    <t>Veterans 'Day Luncheon</t>
  </si>
  <si>
    <t>VDL</t>
  </si>
  <si>
    <t>The intent is to break even with guests paying for their luncheon either at the site or via checks to the council.</t>
  </si>
  <si>
    <t>Sometimes they do a collection for a special charity</t>
  </si>
  <si>
    <t>International Night</t>
  </si>
  <si>
    <t>IN</t>
  </si>
  <si>
    <t>Gulac</t>
  </si>
  <si>
    <t>50/50 Drawing</t>
  </si>
  <si>
    <t>GK/FS</t>
  </si>
  <si>
    <t>Grand Knight selects the charity the 50/50 income goes to.  Last year Military Archdiocese.</t>
  </si>
  <si>
    <t>Keep Christ in Christmas" Card Sales</t>
  </si>
  <si>
    <t>KCIC</t>
  </si>
  <si>
    <t>Mailki</t>
  </si>
  <si>
    <t>This is based on last years sales and is a guestimate.</t>
  </si>
  <si>
    <t>Penny per Knight per Day (PKD)</t>
  </si>
  <si>
    <t>See note below the table (pass through)</t>
  </si>
  <si>
    <t>Helmet: Archdiocese of the US Military Services</t>
  </si>
  <si>
    <t>AMS</t>
  </si>
  <si>
    <t>Mechanism to expend the funds raised in budget line H3, pass through</t>
  </si>
  <si>
    <t>GK</t>
  </si>
  <si>
    <t>All is pass through</t>
  </si>
  <si>
    <t>Pass through</t>
  </si>
  <si>
    <t>PGK Garry</t>
  </si>
  <si>
    <t>Assembly 3596 dues collected through Council Credit Card capability</t>
  </si>
  <si>
    <t>Total Income</t>
  </si>
  <si>
    <t>O32</t>
  </si>
  <si>
    <t>Pulled from Reserves</t>
  </si>
  <si>
    <t>RES</t>
  </si>
  <si>
    <t>Assembly PassThrough</t>
  </si>
  <si>
    <t>CF</t>
  </si>
  <si>
    <t>=I27</t>
  </si>
  <si>
    <t>Notes:</t>
  </si>
  <si>
    <t>As of June 1, 2023: 524 members, consisting of 506 Active members and 18 Inactive Members, with 444 members in Good Standing.  There are 375 Regular members, 16 Honorary members (dues $10), 114 Honorary Life members (dues $0), and 1 Exempt member.  Dues Past Due: 80  (dues $36).  Historically 85.5% pay their dues.</t>
  </si>
  <si>
    <t>New member initiation fees:  Our FY 2022-2023 recruitment goal was 15 new members; funds ball caps and badges (member &amp; spouse), FY 2023-2024 TBD</t>
  </si>
  <si>
    <t>KCIC: One assortment box to be ordered in July 2023</t>
  </si>
  <si>
    <t>PKD: Forecasted volunteer Knights' contribution at 50%of members (260) * $3.65.  Funds to Virginia State Council for vocations</t>
  </si>
  <si>
    <t># members</t>
  </si>
  <si>
    <t>fee</t>
  </si>
  <si>
    <t>Active – Regular</t>
  </si>
  <si>
    <t>Honorary</t>
  </si>
  <si>
    <t>Life members</t>
  </si>
  <si>
    <t>Exempt</t>
  </si>
  <si>
    <t>Past Due</t>
  </si>
  <si>
    <t>inactive</t>
  </si>
  <si>
    <t>2024-25 dues income</t>
  </si>
  <si>
    <t>2023-24 dues income</t>
  </si>
  <si>
    <t xml:space="preserve">   2024-25 delta</t>
  </si>
  <si>
    <t>Item #</t>
  </si>
  <si>
    <t>2022-2023 Budget</t>
  </si>
  <si>
    <t>Charity?</t>
  </si>
  <si>
    <t>Budget
Remaining</t>
  </si>
  <si>
    <t>Cumulative Expenses</t>
  </si>
  <si>
    <t>Q1 Expenses</t>
  </si>
  <si>
    <t>Q2 Expenses</t>
  </si>
  <si>
    <t>Q3 Expenses</t>
  </si>
  <si>
    <t>Q4 Expenses</t>
  </si>
  <si>
    <t>Community Program Expenses</t>
  </si>
  <si>
    <t>C1</t>
  </si>
  <si>
    <t>Coats for Kids</t>
  </si>
  <si>
    <t>yes</t>
  </si>
  <si>
    <t>$xxx.xx per case (12 coats per case). Purchased from Knights' Gear - order early.</t>
  </si>
  <si>
    <t>T. Walter</t>
  </si>
  <si>
    <t>HomeAid</t>
  </si>
  <si>
    <r>
      <t xml:space="preserve"> </t>
    </r>
    <r>
      <rPr>
        <sz val="9"/>
        <color theme="1"/>
        <rFont val="Arial"/>
        <family val="2"/>
      </rPr>
      <t xml:space="preserve">Projected purchase of any needed supplies and </t>
    </r>
    <r>
      <rPr>
        <sz val="9"/>
        <color theme="1"/>
        <rFont val="Arial"/>
        <family val="2"/>
      </rPr>
      <t>equipment</t>
    </r>
  </si>
  <si>
    <t>C3</t>
  </si>
  <si>
    <t>State Council Priorities</t>
  </si>
  <si>
    <t>Benevolence Fund</t>
  </si>
  <si>
    <t>Supports needy Council Knights - needed to receive VKCCI funds, take from line item I8</t>
  </si>
  <si>
    <t>Memorial Fund</t>
  </si>
  <si>
    <t>Payment for 5 memorial masses per deceased Brothers, $10.00 each and other bereavement expenses for the families.</t>
  </si>
  <si>
    <t>1 yr. Trustee and Chancellor</t>
  </si>
  <si>
    <t>Soccer &amp; Free Throw Contests</t>
  </si>
  <si>
    <t>C7</t>
  </si>
  <si>
    <t>Citizenship Essay Contest</t>
  </si>
  <si>
    <t>C8</t>
  </si>
  <si>
    <t>Angel Scholarship Fund (Pre-School)</t>
  </si>
  <si>
    <t>SMOS program</t>
  </si>
  <si>
    <t>High School Scholarships</t>
  </si>
  <si>
    <t>Funding 5 scholarships (4 scholarships for $1,000, 1 scholarship for $750 (matched by Bill Baker).</t>
  </si>
  <si>
    <t>PGK Meinsen</t>
  </si>
  <si>
    <t>Parish Children's Christmas Party</t>
  </si>
  <si>
    <t>Chancellor</t>
  </si>
  <si>
    <t>C12</t>
  </si>
  <si>
    <t>Scouting (Boy and Venture)</t>
  </si>
  <si>
    <t>$2,000 for Troop 697  + $500 for Eagle Projects + $500 American Heritage Girls troop 683.</t>
  </si>
  <si>
    <t>J. Brown</t>
  </si>
  <si>
    <t>Vacation Bible School</t>
  </si>
  <si>
    <t>Bingo Expenses, prizes, refreshments*</t>
  </si>
  <si>
    <t>Chicken BBQ Dinner Supplies</t>
  </si>
  <si>
    <t>Joe Osborne</t>
  </si>
  <si>
    <t>Lenten Meals / Fish Frys</t>
  </si>
  <si>
    <t>Purchase of various supplies for the 6 Lenten Meals in the spring 2024</t>
  </si>
  <si>
    <t>Holiday Food Baskets (Thanksgiving &amp; Christmas)</t>
  </si>
  <si>
    <t>Catholic Charities</t>
  </si>
  <si>
    <t>C19</t>
  </si>
  <si>
    <t>GK designated charity (50/50 proceeds)</t>
  </si>
  <si>
    <t>GK designates a charity/worthy cause for the 50/50 proceeds</t>
  </si>
  <si>
    <t>C20</t>
  </si>
  <si>
    <t>Miscellaneous</t>
  </si>
  <si>
    <t>Discretionary Community Program funding</t>
  </si>
  <si>
    <t>Community Subtotal</t>
  </si>
  <si>
    <t>Family Program Expenses</t>
  </si>
  <si>
    <t>F1</t>
  </si>
  <si>
    <t>Polish Night Supplies</t>
  </si>
  <si>
    <t>International Night Supplies</t>
  </si>
  <si>
    <t>F3</t>
  </si>
  <si>
    <t>Spaghetti Dinner Supplies</t>
  </si>
  <si>
    <t>8 dinners forecast (see I6 for projected income)</t>
  </si>
  <si>
    <t>PGK Vanderbeek</t>
  </si>
  <si>
    <t>Pancake Breakfast Supplies</t>
  </si>
  <si>
    <t>9 breakfasts forecast (see I5 for projected income)</t>
  </si>
  <si>
    <t>J. Moratta</t>
  </si>
  <si>
    <t>Family Picnic</t>
  </si>
  <si>
    <t>Longstanding council program in June</t>
  </si>
  <si>
    <t>J. Mitros</t>
  </si>
  <si>
    <t>Expending  the Polish Night donations</t>
  </si>
  <si>
    <t>Mechanism to release the donations captured on budget line I15</t>
  </si>
  <si>
    <t>Young Man / Young Woman</t>
  </si>
  <si>
    <t>Program restarted See note below.</t>
  </si>
  <si>
    <t>F8</t>
  </si>
  <si>
    <t>F9</t>
  </si>
  <si>
    <t>Veterans Day Lunch</t>
  </si>
  <si>
    <t>PGK Mellor</t>
  </si>
  <si>
    <t>F10</t>
  </si>
  <si>
    <t>Corpus Christi Cook-out</t>
  </si>
  <si>
    <t>F11</t>
  </si>
  <si>
    <t>Discretionary Family Program funding</t>
  </si>
  <si>
    <t>Family Subtotal</t>
  </si>
  <si>
    <t>Young Man / Young Woman: Selection committee created and headed by Family PD.  Promote to Scouts, Squire Roses, and RE/Youth Ministry</t>
  </si>
  <si>
    <t>Faith Program Expenses</t>
  </si>
  <si>
    <t>H1</t>
  </si>
  <si>
    <t>Support to Seminarians and Postulants</t>
  </si>
  <si>
    <t>Bob Portland</t>
  </si>
  <si>
    <t>H2</t>
  </si>
  <si>
    <t>Helmet Funds</t>
  </si>
  <si>
    <t>This budget line allows for disbursing the funds raised in row I21 to the Archdiocese of the US Military Services</t>
  </si>
  <si>
    <t>Don Mailki</t>
  </si>
  <si>
    <t>H3</t>
  </si>
  <si>
    <t>Gifts to Priests</t>
  </si>
  <si>
    <t>Gifts to Deacons</t>
  </si>
  <si>
    <t>H5</t>
  </si>
  <si>
    <t>FOCUS - College Mission Support</t>
  </si>
  <si>
    <t>Supporting faith programs for college students</t>
  </si>
  <si>
    <t>H6</t>
  </si>
  <si>
    <t>TEACH -- Missions Support (Guatemala)</t>
  </si>
  <si>
    <t>KofC Ukraine Solidarity Fund</t>
  </si>
  <si>
    <t>H8</t>
  </si>
  <si>
    <t>Support to Sisters of La Salette</t>
  </si>
  <si>
    <t>John LaRosa</t>
  </si>
  <si>
    <t>Discretionary Faith Program funding</t>
  </si>
  <si>
    <t>Don Maliki</t>
  </si>
  <si>
    <t>Faith Subtotal</t>
  </si>
  <si>
    <t>Life Program Expenses</t>
  </si>
  <si>
    <t>Marian Homes</t>
  </si>
  <si>
    <t xml:space="preserve">MHI operates 7 homes now, with 35 residents; one more home to open soon  </t>
  </si>
  <si>
    <t>PGK McHugh</t>
  </si>
  <si>
    <t>KOVAR Donations</t>
  </si>
  <si>
    <t>John Mitros</t>
  </si>
  <si>
    <t>KOVAR Supplies</t>
  </si>
  <si>
    <t xml:space="preserve">Restocking supplies of tootsie rolls, vests, folders </t>
  </si>
  <si>
    <t>Area 26,
Special Olympics of Virginia</t>
  </si>
  <si>
    <t>L5</t>
  </si>
  <si>
    <t>L6</t>
  </si>
  <si>
    <t xml:space="preserve">Project Gabriel </t>
  </si>
  <si>
    <t>Arlington Archdiocese initiative:  pregnancy hotline, pre-natal care assistance, financial assistance, and referrals to parish ministries, Catholic Charities and other organizations. Aid and Support After Pregnancy (ASAP) candidate (see note below)</t>
  </si>
  <si>
    <t>L7</t>
  </si>
  <si>
    <t>MaRiH Center</t>
  </si>
  <si>
    <t>Funding for long-standing council partner. ASAP candidate</t>
  </si>
  <si>
    <t>L8</t>
  </si>
  <si>
    <t>Paul Stefan Home</t>
  </si>
  <si>
    <t xml:space="preserve">Housing, training for mothers in need; ASAP candidate </t>
  </si>
  <si>
    <t xml:space="preserve"> A Best Choice Ultrasound</t>
  </si>
  <si>
    <t>Funding for long-standing council program.  ASAP candidate</t>
  </si>
  <si>
    <t>L10</t>
  </si>
  <si>
    <t>Divine Mercy Care</t>
  </si>
  <si>
    <t>Direct support for crisis pregnancies, including OBY/GN services [Tepeac Pregnancy Ctr]</t>
  </si>
  <si>
    <t>Discretionary Life Program funding</t>
  </si>
  <si>
    <t xml:space="preserve">Life Program Subtotal </t>
  </si>
  <si>
    <t>2022-2023
Budget</t>
  </si>
  <si>
    <t>Cumulative
Expenses</t>
  </si>
  <si>
    <t>Council Operations Expenses</t>
  </si>
  <si>
    <t>PerCapitaTax (PCT)
($3.50/K/yr. Supreme Council)</t>
  </si>
  <si>
    <t xml:space="preserve">520 Members </t>
  </si>
  <si>
    <t>Culture of Life (COL)
($2/K/yr. Supreme)</t>
  </si>
  <si>
    <t>Catholic Advertisements (CAF)($1/k/yr. Supreme)</t>
  </si>
  <si>
    <t>O4</t>
  </si>
  <si>
    <t xml:space="preserve">Based on actual assessment </t>
  </si>
  <si>
    <t>PKD (Penny per Knight per Day)</t>
  </si>
  <si>
    <t>Voluntary donations all sent to State Council for vocations</t>
  </si>
  <si>
    <t xml:space="preserve">Supreme Supplies </t>
  </si>
  <si>
    <t>Posters, Pins, etc; forms 100 are free</t>
  </si>
  <si>
    <t>State Meetings</t>
  </si>
  <si>
    <t>Over forecasted last year due to Covid forcing virtual meetings</t>
  </si>
  <si>
    <t>FS/GK</t>
  </si>
  <si>
    <t>District 14 Support</t>
  </si>
  <si>
    <t xml:space="preserve">Estimate;  no costs last year </t>
  </si>
  <si>
    <t>O9</t>
  </si>
  <si>
    <t>Web Services</t>
  </si>
  <si>
    <t>Licenses and web-based fees (see note)</t>
  </si>
  <si>
    <t>Web Master</t>
  </si>
  <si>
    <t>O10</t>
  </si>
  <si>
    <t>FS Stipend</t>
  </si>
  <si>
    <t>set at 10% of dues (see note below)</t>
  </si>
  <si>
    <t>GK &amp; Trustees</t>
  </si>
  <si>
    <t>Liability Insurance</t>
  </si>
  <si>
    <t>Costs going up</t>
  </si>
  <si>
    <t>Postage</t>
  </si>
  <si>
    <t>Same as above</t>
  </si>
  <si>
    <t>O13</t>
  </si>
  <si>
    <t>Council Supplies</t>
  </si>
  <si>
    <t>Administrative supplies</t>
  </si>
  <si>
    <t>O14</t>
  </si>
  <si>
    <t>State Council NFL Football raffle tickets</t>
  </si>
  <si>
    <t>GK's Christmas Party</t>
  </si>
  <si>
    <t>Estimate based on last year</t>
  </si>
  <si>
    <t>O17</t>
  </si>
  <si>
    <t>Officer Installation Ceremony</t>
  </si>
  <si>
    <t>Christmas Tree Sales Supplies</t>
  </si>
  <si>
    <t>Includes twine, electrical, coffee, saws, oil, shed maintenance etc; excludes purchase of trees, which is on the next budget line</t>
  </si>
  <si>
    <t>Costs for purchase of trees</t>
  </si>
  <si>
    <t>O20</t>
  </si>
  <si>
    <t>GK Discretionary Expenses</t>
  </si>
  <si>
    <t>O34</t>
  </si>
  <si>
    <t xml:space="preserve">Miscellaneous </t>
  </si>
  <si>
    <t>Council Opns Subtotal</t>
  </si>
  <si>
    <t>FS Stipend: Section 3 of the Council bylaws define the FS stipend as being 10% of the dues collected</t>
  </si>
  <si>
    <t>2023 - 2024 Council 8600 Budget; Gordon Goetz Grand Knight</t>
  </si>
  <si>
    <t>Z-I</t>
  </si>
  <si>
    <t>Z-E</t>
  </si>
  <si>
    <t>2024 Dues Breakout</t>
  </si>
  <si>
    <t>2023</t>
  </si>
  <si>
    <t>2024</t>
  </si>
  <si>
    <t>member type</t>
  </si>
  <si>
    <t>Regular Knights</t>
  </si>
  <si>
    <t>Under-26 members (pay 50% of regular dues)</t>
  </si>
  <si>
    <t>Honorary Members pay Supreme fee $6.50</t>
  </si>
  <si>
    <t>Life</t>
  </si>
  <si>
    <t>Honorary Members pay State fee $7.00</t>
  </si>
  <si>
    <t>Sum of Debit   (-)</t>
  </si>
  <si>
    <t>Sum of Credit (+)</t>
  </si>
  <si>
    <t xml:space="preserve">A0                                </t>
  </si>
  <si>
    <t>i14</t>
  </si>
  <si>
    <t>M1</t>
  </si>
  <si>
    <t>M2</t>
  </si>
  <si>
    <t>M4</t>
  </si>
  <si>
    <t>M8</t>
  </si>
  <si>
    <t>M9</t>
  </si>
  <si>
    <t>M99</t>
  </si>
  <si>
    <t>U1</t>
  </si>
  <si>
    <t>U12</t>
  </si>
  <si>
    <t>U14</t>
  </si>
  <si>
    <t>U2</t>
  </si>
  <si>
    <t>U3</t>
  </si>
  <si>
    <t>U5</t>
  </si>
  <si>
    <t>U7</t>
  </si>
  <si>
    <t>U7A</t>
  </si>
  <si>
    <t>U8</t>
  </si>
  <si>
    <t>U9</t>
  </si>
  <si>
    <t>Y1</t>
  </si>
  <si>
    <t>Y12</t>
  </si>
  <si>
    <t>Y13</t>
  </si>
  <si>
    <t>Y14</t>
  </si>
  <si>
    <t>Y16</t>
  </si>
  <si>
    <t>Y3</t>
  </si>
  <si>
    <t>Y5</t>
  </si>
  <si>
    <t>Y6</t>
  </si>
  <si>
    <t>Y7</t>
  </si>
  <si>
    <t>Y9</t>
  </si>
  <si>
    <t>Pancake supplies</t>
  </si>
  <si>
    <t>Pancake Income</t>
  </si>
  <si>
    <t>7/17-12/17</t>
  </si>
  <si>
    <t>Line #</t>
  </si>
  <si>
    <t>Description of Transaction</t>
  </si>
  <si>
    <t>Column1</t>
  </si>
  <si>
    <t>Debit   (-)</t>
  </si>
  <si>
    <t>Credit (+)</t>
  </si>
  <si>
    <t>Balance</t>
  </si>
  <si>
    <t>x</t>
  </si>
  <si>
    <t>Starting Fraternal Year</t>
  </si>
  <si>
    <t>KCIC cards</t>
  </si>
  <si>
    <t>Pre-Meeting Food</t>
  </si>
  <si>
    <t>Shirt/Hat Deposit</t>
  </si>
  <si>
    <t>Supplies</t>
  </si>
  <si>
    <t>Dues Transfer - Assembly</t>
  </si>
  <si>
    <t>Supreme Culture of Life</t>
  </si>
  <si>
    <t>Badges</t>
  </si>
  <si>
    <t>State of VA - Per Capita</t>
  </si>
  <si>
    <t>OMSH Phone</t>
  </si>
  <si>
    <t>Installation supplies - Sterno</t>
  </si>
  <si>
    <t>Office Supplies</t>
  </si>
  <si>
    <t>Website</t>
  </si>
  <si>
    <t>Installation supplies - Flowers</t>
  </si>
  <si>
    <t>Installation supplies - Food</t>
  </si>
  <si>
    <t>Bingo Pass Through - TEACH</t>
  </si>
  <si>
    <t>Lucy Schliebaum - Installation</t>
  </si>
  <si>
    <t>Softball equpment</t>
  </si>
  <si>
    <t>TR</t>
  </si>
  <si>
    <t>Dues Donation</t>
  </si>
  <si>
    <t>Pancake Refund</t>
  </si>
  <si>
    <t>Celebrate Fairfax Tips</t>
  </si>
  <si>
    <t>Installation Fee</t>
  </si>
  <si>
    <t>SHIRTS/HATS</t>
  </si>
  <si>
    <t>IRS - Late Fee</t>
  </si>
  <si>
    <t>Administrative Copies</t>
  </si>
  <si>
    <t>Dinner Supplies</t>
  </si>
  <si>
    <t>Family Picnic Supplies</t>
  </si>
  <si>
    <t>Paul Stefan Foundation</t>
  </si>
  <si>
    <t>OSMH Phone</t>
  </si>
  <si>
    <t>Seminary Picnic</t>
  </si>
  <si>
    <t>Assembly Pass through - Dues</t>
  </si>
  <si>
    <t>Recruitment Poster</t>
  </si>
  <si>
    <t>Assembly Loan</t>
  </si>
  <si>
    <t>Paul Maltigatti Golf Tournament</t>
  </si>
  <si>
    <t>Dave Lopez</t>
  </si>
  <si>
    <t>U13</t>
  </si>
  <si>
    <t>A Best Choice</t>
  </si>
  <si>
    <t>Paint Equipment</t>
  </si>
  <si>
    <t>Pancake Breakfast</t>
  </si>
  <si>
    <t>Hurricane Relief</t>
  </si>
  <si>
    <t>F4s</t>
  </si>
  <si>
    <t>Squire Pancake Supplies</t>
  </si>
  <si>
    <t>Neddie Mountain Farm - Christmas Tree</t>
  </si>
  <si>
    <t>Raffle Tickets</t>
  </si>
  <si>
    <t>Christmas Tree Supply - Trip to NC</t>
  </si>
  <si>
    <t>Website name</t>
  </si>
  <si>
    <t>Insurance</t>
  </si>
  <si>
    <t>Pancake Supplies (Squire)</t>
  </si>
  <si>
    <t>PANCAKE BREAKFAST (I10)</t>
  </si>
  <si>
    <t>PANCAKE Refund</t>
  </si>
  <si>
    <t>Italian Night</t>
  </si>
  <si>
    <t>I10s</t>
  </si>
  <si>
    <t>Pancake Breakfast (Squire)</t>
  </si>
  <si>
    <t>Initiation Fee</t>
  </si>
  <si>
    <t>Frames - Obuchowski</t>
  </si>
  <si>
    <t>3rd Degree Exemplification</t>
  </si>
  <si>
    <t>Bingo Charity - La Sallette Sisters</t>
  </si>
  <si>
    <t>Bingo Food</t>
  </si>
  <si>
    <t>Domain Name</t>
  </si>
  <si>
    <t>Plaque Plates</t>
  </si>
  <si>
    <t>Neddie Mountain Tree - Christmas Tree</t>
  </si>
  <si>
    <t>MEETING FOOD</t>
  </si>
  <si>
    <t>Bingo (i17)</t>
  </si>
  <si>
    <t>i23</t>
  </si>
  <si>
    <t>Tree Permit</t>
  </si>
  <si>
    <t>Christmas Tree Supplies</t>
  </si>
  <si>
    <t>April Improve a Home</t>
  </si>
  <si>
    <t>Paul Stephan Foundation Room</t>
  </si>
  <si>
    <t>Priest Christmas Gift</t>
  </si>
  <si>
    <t>1st° Initiation Fee (I22)</t>
  </si>
  <si>
    <t>DUES (I1)</t>
  </si>
  <si>
    <t>Grand Knight Christmas Party</t>
  </si>
  <si>
    <t>Children Christmas Party</t>
  </si>
  <si>
    <t>Website Maintenance</t>
  </si>
  <si>
    <t>Christmas Cards</t>
  </si>
  <si>
    <t>Christmas Tree</t>
  </si>
  <si>
    <t>Data</t>
  </si>
  <si>
    <t>Sum - Credit (+)</t>
  </si>
  <si>
    <t>Sum - Debit   (-)</t>
  </si>
  <si>
    <t>Total Sum - Credit (+)</t>
  </si>
  <si>
    <t>Total Sum - Debit   (-)</t>
  </si>
  <si>
    <t>i24</t>
  </si>
  <si>
    <t>(empty)</t>
  </si>
  <si>
    <t>h6</t>
  </si>
  <si>
    <t>Total Result</t>
  </si>
  <si>
    <t>Lucy Schliebaum - Italian Night</t>
  </si>
  <si>
    <t>Ercole Barone-Italian Night</t>
  </si>
  <si>
    <t>Cella Italian Night</t>
  </si>
  <si>
    <t>Compassionate Friends</t>
  </si>
  <si>
    <t>Family Movie Night</t>
  </si>
  <si>
    <t>Movie Night Food</t>
  </si>
  <si>
    <t>Polish Dinner - La Sallette Sisters</t>
  </si>
  <si>
    <t>Marian Homes Polish Dinner</t>
  </si>
  <si>
    <t>Polish Dinner</t>
  </si>
  <si>
    <t>Ercole Barone-Polish Night</t>
  </si>
  <si>
    <t>Spaghetti</t>
  </si>
  <si>
    <t>Pancake Breakfast Supplies - Council</t>
  </si>
  <si>
    <t>Pancake Breakfast Supplies- Squires</t>
  </si>
  <si>
    <t>Pancake Supplies - Council</t>
  </si>
  <si>
    <t>Pancake Supplies - Squires</t>
  </si>
  <si>
    <t>Pancake-Knights</t>
  </si>
  <si>
    <t>Pancake - Squires</t>
  </si>
  <si>
    <t>Pancake Breakfasts - Council</t>
  </si>
  <si>
    <t>Pancake Breakfast - Squires</t>
  </si>
  <si>
    <t>Jim McHugh</t>
  </si>
  <si>
    <t>Bingo Supplies - Mannion</t>
  </si>
  <si>
    <t>Fr Stefan Bingo Supplies</t>
  </si>
  <si>
    <t>Bingo Food - LaRosa</t>
  </si>
  <si>
    <t>Bingo Supplies - La Rosa</t>
  </si>
  <si>
    <t>Bingo Supplies - Gulac</t>
  </si>
  <si>
    <t>Mike Mannion</t>
  </si>
  <si>
    <t>Bingo Charities - La Sallette Sisters</t>
  </si>
  <si>
    <t>Terry Walter - Picnic</t>
  </si>
  <si>
    <t>Richard Polhemus - Picnic</t>
  </si>
  <si>
    <t>GK Christmas Party</t>
  </si>
  <si>
    <t>Aaron Peiffer - Discernment</t>
  </si>
  <si>
    <t>KCIC CHRISTMAS CARDS</t>
  </si>
  <si>
    <t>Serra Club - Vocations</t>
  </si>
  <si>
    <t>Priests Gifts</t>
  </si>
  <si>
    <t>Teach</t>
  </si>
  <si>
    <t>Kairos Support</t>
  </si>
  <si>
    <t>Dues - Credit Card</t>
  </si>
  <si>
    <t>1st Dues</t>
  </si>
  <si>
    <t>Dues (CHECK/CASH)</t>
  </si>
  <si>
    <t>Dues (IM)</t>
  </si>
  <si>
    <t>Dues (SQUARE)</t>
  </si>
  <si>
    <t>DUES</t>
  </si>
  <si>
    <t>Dues (cash/checks)</t>
  </si>
  <si>
    <t>Dues (im)</t>
  </si>
  <si>
    <t>Pancake Breakfast Knights</t>
  </si>
  <si>
    <t>Pancake Breakfast Refund</t>
  </si>
  <si>
    <t xml:space="preserve">Pancake </t>
  </si>
  <si>
    <t>Pancake</t>
  </si>
  <si>
    <t>Pancake Rebate</t>
  </si>
  <si>
    <t>Pancake Breakfast (Knights)</t>
  </si>
  <si>
    <t>Pancake Squires</t>
  </si>
  <si>
    <t>Pancake Breakfast - Knights</t>
  </si>
  <si>
    <t>Spaghetti Dinner (CC)</t>
  </si>
  <si>
    <t>TEX-MEX Dinner</t>
  </si>
  <si>
    <t>TEX-MEX Dinner (Square)</t>
  </si>
  <si>
    <t>Tex-Mex (Amigos en Cristo pass through)</t>
  </si>
  <si>
    <t>Christmas Card Sales</t>
  </si>
  <si>
    <t>5 Car Raffle</t>
  </si>
  <si>
    <t>Bingo</t>
  </si>
  <si>
    <t xml:space="preserve">Bingo </t>
  </si>
  <si>
    <t>Bingo - Fr Stefan House</t>
  </si>
  <si>
    <t>Bingo (CC)</t>
  </si>
  <si>
    <t>Football Frenzy</t>
  </si>
  <si>
    <t xml:space="preserve">Helmet </t>
  </si>
  <si>
    <t>Helmet</t>
  </si>
  <si>
    <t>i19</t>
  </si>
  <si>
    <t>Dues Donations-Military Archdioceses</t>
  </si>
  <si>
    <t>PKD (Check/Cash)</t>
  </si>
  <si>
    <t>PKD (IM)</t>
  </si>
  <si>
    <t>PKD (SQUARE)</t>
  </si>
  <si>
    <t>Can Refund</t>
  </si>
  <si>
    <t>Can Trailer</t>
  </si>
  <si>
    <t>50/50 (Stephen Foundation)</t>
  </si>
  <si>
    <t>i21</t>
  </si>
  <si>
    <t>1ST Initiation Fee</t>
  </si>
  <si>
    <t>Food Baskets</t>
  </si>
  <si>
    <t>Improve a home Donation</t>
  </si>
  <si>
    <t>Military Archdiocese Donation</t>
  </si>
  <si>
    <t>Dues Pass Through to Assembly</t>
  </si>
  <si>
    <t>Membership State Refund</t>
  </si>
  <si>
    <t>Assembly Dues - Will be Transferred</t>
  </si>
  <si>
    <t>Membership Reward</t>
  </si>
  <si>
    <t>Badge</t>
  </si>
  <si>
    <t>Germain BSA Return</t>
  </si>
  <si>
    <t>Diocese of Arlington</t>
  </si>
  <si>
    <t>i27</t>
  </si>
  <si>
    <t>Paul Stefan Home - Room</t>
  </si>
  <si>
    <t>Dues Donations-Paul Stefan House - room</t>
  </si>
  <si>
    <t xml:space="preserve">Paul Stefan Donation </t>
  </si>
  <si>
    <t>Kovar Carry Over</t>
  </si>
  <si>
    <t>KOVAR Donation</t>
  </si>
  <si>
    <t>KOVAR Drive</t>
  </si>
  <si>
    <t>KOVAR Dues Donations</t>
  </si>
  <si>
    <t>Squires FundRaiser</t>
  </si>
  <si>
    <t>Christmas Card Tree</t>
  </si>
  <si>
    <t>Christmas Trees Sales</t>
  </si>
  <si>
    <t>St Mary of Sorrows March for Life Bus</t>
  </si>
  <si>
    <t>Prayer for Life</t>
  </si>
  <si>
    <t>Paul Stefan Home - Golf Tournament</t>
  </si>
  <si>
    <t>Marian Homes Donation</t>
  </si>
  <si>
    <t>April-Improve-A-Home</t>
  </si>
  <si>
    <t>Improve a home</t>
  </si>
  <si>
    <t>JoHn Germain</t>
  </si>
  <si>
    <t>Celebrate Fairfax Supplies</t>
  </si>
  <si>
    <t>Helping Hands</t>
  </si>
  <si>
    <t>Special Olympics Dinner</t>
  </si>
  <si>
    <t>Able Charities</t>
  </si>
  <si>
    <t>Catholic Prayer Breakfast</t>
  </si>
  <si>
    <t>Transfer Donaton to I4</t>
  </si>
  <si>
    <t>Per Capita</t>
  </si>
  <si>
    <t>Plaque Engraving</t>
  </si>
  <si>
    <t>3rd Degree meals</t>
  </si>
  <si>
    <t>Postage-Annuity Mail</t>
  </si>
  <si>
    <t>PostMaster Mailbox Rent</t>
  </si>
  <si>
    <t>OSMH Telephone Verizon</t>
  </si>
  <si>
    <t>Verizon - OSMH Telephone</t>
  </si>
  <si>
    <t>Verizon - OSMH Phone</t>
  </si>
  <si>
    <t>Speaker System -GK Discretionary</t>
  </si>
  <si>
    <t>GK Discreationary - Paul Maltiagiati Golf Tournament</t>
  </si>
  <si>
    <t>GK Discreationary - Paul Maltiagiati Golf Tournament (VOID)</t>
  </si>
  <si>
    <t>GK Discretionary - Paula Simmons Sacred Vessels</t>
  </si>
  <si>
    <t>GK Discretionary - St Patrick Catholic Church Richmond</t>
  </si>
  <si>
    <t>Flood Relief - LA</t>
  </si>
  <si>
    <t>GK Discrationary/gmu food</t>
  </si>
  <si>
    <t>Hearing Aids - Fr Greenhalgh</t>
  </si>
  <si>
    <t>Christmas Food Pass Through</t>
  </si>
  <si>
    <t>Bishop Brundige Ad Herald</t>
  </si>
  <si>
    <t>Council Caps</t>
  </si>
  <si>
    <t>Badges-Assembly</t>
  </si>
  <si>
    <t>Badges-Council</t>
  </si>
  <si>
    <t>Rick Lalich - Nametags</t>
  </si>
  <si>
    <t>Rich Lalich - 11467</t>
  </si>
  <si>
    <t>Can Wagon Repair</t>
  </si>
  <si>
    <t>Malloy Assembly Dues-transferred</t>
  </si>
  <si>
    <t xml:space="preserve">Assembly Dues Pass Through </t>
  </si>
  <si>
    <t>ASSEMBLY PASSThrough</t>
  </si>
  <si>
    <t>Culture of Life - Supreme</t>
  </si>
  <si>
    <t>Catholic Advertising</t>
  </si>
  <si>
    <t>Per Capita - VA</t>
  </si>
  <si>
    <t>FS Salary</t>
  </si>
  <si>
    <t>State Meeting</t>
  </si>
  <si>
    <t>Annual Meeting Hospitality Suite</t>
  </si>
  <si>
    <t>AD for State Program</t>
  </si>
  <si>
    <t>Ercole Barone-Veteran Donation</t>
  </si>
  <si>
    <t>John Paul Shrine (VOID)</t>
  </si>
  <si>
    <t>John Paul Shrine - Mike Mellor</t>
  </si>
  <si>
    <t>Lucy Schlebaum - installation Dinner</t>
  </si>
  <si>
    <t>Brian Prindle - Installation Dinner</t>
  </si>
  <si>
    <t>Tom Silva-Installation</t>
  </si>
  <si>
    <t>Christmas Trees - River RidgeTree Farms</t>
  </si>
  <si>
    <t>FCCSL Registration</t>
  </si>
  <si>
    <t>All Saints - 5 Car Raffle</t>
  </si>
  <si>
    <t>5 Car Raffle Postage/Supplies</t>
  </si>
  <si>
    <t>Football Frenzy - State</t>
  </si>
  <si>
    <t>Christmas Tree - Hotel Wassif</t>
  </si>
  <si>
    <t>Christmas Tree - Hotel Restivo</t>
  </si>
  <si>
    <t>Christmas tree supplies</t>
  </si>
  <si>
    <t xml:space="preserve">Christmas Tree Cuttings </t>
  </si>
  <si>
    <t>Squires</t>
  </si>
  <si>
    <t>Squire Seminarian</t>
  </si>
  <si>
    <t>Squires Family Dinner</t>
  </si>
  <si>
    <t>Squire Seminarian - Philip Briggs</t>
  </si>
  <si>
    <t>Mountain View Project Opportunity</t>
  </si>
  <si>
    <t>Focus</t>
  </si>
  <si>
    <t>Johnny Restivo</t>
  </si>
  <si>
    <t>Fr Bader Scholarship</t>
  </si>
  <si>
    <t>Scholarships (Anthony Jones, Mary Turgeon, Phillip Ramos, Kenra Martin, Vernon Adrade, Andrew Meyers, Brandon Guerzon)</t>
  </si>
  <si>
    <t>Community Foundation of NOVA (Baker Scholarship)</t>
  </si>
  <si>
    <t>All Night Grad Party - Paul VI</t>
  </si>
  <si>
    <t>Justin Keller Eagle Project</t>
  </si>
  <si>
    <t>Scouting</t>
  </si>
  <si>
    <t>Boy Scout Eagle Project</t>
  </si>
  <si>
    <t>Eagle Project - Alex Willis</t>
  </si>
  <si>
    <t>Eagle Project - Andrew Beauchemin</t>
  </si>
  <si>
    <t>NUmber</t>
  </si>
  <si>
    <t>ColUmn1</t>
  </si>
  <si>
    <t>A0</t>
  </si>
  <si>
    <t>LUcY SchliebaUm - Italian Night</t>
  </si>
  <si>
    <t>F</t>
  </si>
  <si>
    <t>Compassionate friends</t>
  </si>
  <si>
    <t>easter egg hUnt</t>
  </si>
  <si>
    <t>FamilY Movie Night</t>
  </si>
  <si>
    <t>Robert Chang - Polish Food</t>
  </si>
  <si>
    <t>ObUchowski - Polish Food</t>
  </si>
  <si>
    <t>Polish Night - Cella</t>
  </si>
  <si>
    <t>Spaghetti SUpplies</t>
  </si>
  <si>
    <t>HYpothermia Food SUpplies</t>
  </si>
  <si>
    <t>Spahetti SUpplies - Wassif</t>
  </si>
  <si>
    <t>Spahetti SUpplies - Cella</t>
  </si>
  <si>
    <t>Spagehetti</t>
  </si>
  <si>
    <t>tex mex</t>
  </si>
  <si>
    <t>Spaghetti Dinner SUpplies</t>
  </si>
  <si>
    <t>Pancake SUpplies</t>
  </si>
  <si>
    <t>Pancake SUpplies - SqUires</t>
  </si>
  <si>
    <t>Pancakes</t>
  </si>
  <si>
    <t>pancakes</t>
  </si>
  <si>
    <t>Pancake Breakfast SUpplies - CoUncil</t>
  </si>
  <si>
    <t>Pancake Breakfast SUpplies- SqUires</t>
  </si>
  <si>
    <t>Pancake SUpplies - CoUncil</t>
  </si>
  <si>
    <t>Pancake - SqUires</t>
  </si>
  <si>
    <t>Pancake Breakfasts - CoUncil</t>
  </si>
  <si>
    <t>Pancake Breakfast - SqUires</t>
  </si>
  <si>
    <t>Bingo SUpplies - Mannion</t>
  </si>
  <si>
    <t xml:space="preserve"> Bingo Soda - Mannion</t>
  </si>
  <si>
    <t>Bingo SUpplies</t>
  </si>
  <si>
    <t>Mannion - Bingo Food</t>
  </si>
  <si>
    <t>Fr Stefan Bingo SUpplies</t>
  </si>
  <si>
    <t>Bingo Pass ThroUgh - Pre School Scholarships</t>
  </si>
  <si>
    <t>bingo charities - Sisters of La Salette</t>
  </si>
  <si>
    <t>bingo - TEACH</t>
  </si>
  <si>
    <t>TerrY Walter - Picnic</t>
  </si>
  <si>
    <t>Richard PolhemUs - Picnic</t>
  </si>
  <si>
    <t>McHUgh SUpplies (Christmas PartY)</t>
  </si>
  <si>
    <t>GK Christmas PartY</t>
  </si>
  <si>
    <t>Jeff Petraski</t>
  </si>
  <si>
    <t>H</t>
  </si>
  <si>
    <t>Peter McShUrleY - Seminarian</t>
  </si>
  <si>
    <t>H10</t>
  </si>
  <si>
    <t>New ChUrch</t>
  </si>
  <si>
    <t>H11</t>
  </si>
  <si>
    <t>Hospital MinistrY</t>
  </si>
  <si>
    <t>Father Bader Scholarship</t>
  </si>
  <si>
    <t>KCIC Cards - Mailki</t>
  </si>
  <si>
    <t>Serra ClUb - Vocations</t>
  </si>
  <si>
    <t>Children's Choir partY</t>
  </si>
  <si>
    <t>MilitarY Archdioceses Varied (see Attached)</t>
  </si>
  <si>
    <t>Kairos SUpport</t>
  </si>
  <si>
    <t>Project Manger</t>
  </si>
  <si>
    <t>L</t>
  </si>
  <si>
    <t>Prolife BUs</t>
  </si>
  <si>
    <t>St MarY of Sorrows March for Life BUs</t>
  </si>
  <si>
    <t>PaUl Stefan FoUndation</t>
  </si>
  <si>
    <t>PaUl Stefan Home - Room</t>
  </si>
  <si>
    <t>PaUl Stefan Home - Pro Life Misc</t>
  </si>
  <si>
    <t>Pro Life - Priest for Life</t>
  </si>
  <si>
    <t>American Life LeagUe</t>
  </si>
  <si>
    <t>40 DaYs for Life</t>
  </si>
  <si>
    <t>PraYer for Life</t>
  </si>
  <si>
    <t>PaUl Stefan Home - Golf ToUrnament</t>
  </si>
  <si>
    <t>M</t>
  </si>
  <si>
    <t>Improve a Home</t>
  </si>
  <si>
    <t>Brian Prindle</t>
  </si>
  <si>
    <t>M3</t>
  </si>
  <si>
    <t>KOVAR SUpplies</t>
  </si>
  <si>
    <t>Celebrate Fairfax SUpplies</t>
  </si>
  <si>
    <t>Special OlYmpics Dinner</t>
  </si>
  <si>
    <t>O</t>
  </si>
  <si>
    <t>sUpplies</t>
  </si>
  <si>
    <t>SUpplies</t>
  </si>
  <si>
    <t>AssemblY SUpplies - to be reimbUrsed</t>
  </si>
  <si>
    <t>SUpreme</t>
  </si>
  <si>
    <t>sUpreme sUpplies</t>
  </si>
  <si>
    <t>James McHUgh</t>
  </si>
  <si>
    <t>Postage - Sharp</t>
  </si>
  <si>
    <t>Postal Box</t>
  </si>
  <si>
    <t>Postage-AnnUitY Mail</t>
  </si>
  <si>
    <t>OSMH PHONE</t>
  </si>
  <si>
    <t>OSMH Verizon Telephone</t>
  </si>
  <si>
    <t>Verizon Phone Bill</t>
  </si>
  <si>
    <t>Gordon Goetz - PraYer Cards</t>
  </si>
  <si>
    <t>AssemblY Pass ThroUgh DUes</t>
  </si>
  <si>
    <t>Project MUstard Seed - MarY Alice Dragone</t>
  </si>
  <si>
    <t>PraYer Card JUstice Scalia</t>
  </si>
  <si>
    <t>VKCCI</t>
  </si>
  <si>
    <t>PraYer Card</t>
  </si>
  <si>
    <t>National Catholic PraYer Breakfast</t>
  </si>
  <si>
    <t>AssemblY 3596</t>
  </si>
  <si>
    <t>PraYer Breakfast Table</t>
  </si>
  <si>
    <t>PraYer Cards</t>
  </si>
  <si>
    <t>Speaker SYstem -GK DiscretionarY</t>
  </si>
  <si>
    <t>GK DiscreationarY - PaUl Maltiagiati Golf ToUrnament</t>
  </si>
  <si>
    <t>GK DiscreationarY - PaUl Maltiagiati Golf ToUrnament (VOID)</t>
  </si>
  <si>
    <t>GK DiscretionarY - PaUla Simmons Sacred Vessels</t>
  </si>
  <si>
    <t>GK DiscretionarY - St Patrick Catholic ChUrch Richmond</t>
  </si>
  <si>
    <t>GK DiscrationarY/gmU food</t>
  </si>
  <si>
    <t>Christmas Food Pass ThroUgh</t>
  </si>
  <si>
    <t>Bishop BrUndige Ad Herald</t>
  </si>
  <si>
    <t>web services</t>
  </si>
  <si>
    <t>Rick Lalich Badges</t>
  </si>
  <si>
    <t>CoUncil Caps</t>
  </si>
  <si>
    <t>Badges-AssemblY</t>
  </si>
  <si>
    <t>Badges-CoUncil</t>
  </si>
  <si>
    <t>AssemblY Pass ThroUgh</t>
  </si>
  <si>
    <t>Bank Fees (No Check)</t>
  </si>
  <si>
    <t>MalloY AssemblY DUes-transferred</t>
  </si>
  <si>
    <t>AssemblY DUes - Will be Transferred</t>
  </si>
  <si>
    <t>AssemblY DUes Pass ThroUgh</t>
  </si>
  <si>
    <t>CUltUre of Life</t>
  </si>
  <si>
    <t>CUltUre of Life - SUpreme</t>
  </si>
  <si>
    <t>fs salarY</t>
  </si>
  <si>
    <t>Gas for QUarterlY Meeting</t>
  </si>
  <si>
    <t>State Meeting Ball Drop</t>
  </si>
  <si>
    <t>AnnUal Meeting HospitalitY SUite</t>
  </si>
  <si>
    <t>Hospital SUite</t>
  </si>
  <si>
    <t>LiabilitY InsUrance</t>
  </si>
  <si>
    <t>MosleY SoUle</t>
  </si>
  <si>
    <t>U</t>
  </si>
  <si>
    <t>JoshUa Freda</t>
  </si>
  <si>
    <t>Degree Breakfast Items (DonUts and Bagels)</t>
  </si>
  <si>
    <t>James McHUgh - Fr Barkett LUnch</t>
  </si>
  <si>
    <t>Stephen BUcher</t>
  </si>
  <si>
    <t>CELLA - FOOD</t>
  </si>
  <si>
    <t>U11</t>
  </si>
  <si>
    <t>DUes ReimbUrsement - KearneY (GK selection)</t>
  </si>
  <si>
    <t>Bowling</t>
  </si>
  <si>
    <t>John PaUl Shrine (VOID)</t>
  </si>
  <si>
    <t>John PaUl Shrine - Mike Mellor</t>
  </si>
  <si>
    <t>LUcY SchlebaUm - installation Dinner</t>
  </si>
  <si>
    <t>Bowling Team</t>
  </si>
  <si>
    <t>FCCSL Softball</t>
  </si>
  <si>
    <t>bowling event</t>
  </si>
  <si>
    <t>U6</t>
  </si>
  <si>
    <t>Erc Barone</t>
  </si>
  <si>
    <t>OSMH Maintenance - Jack DUlan</t>
  </si>
  <si>
    <t>OSMH Maintenance - Mike Perri</t>
  </si>
  <si>
    <t>OSMH Maintenance - Ercole Barone</t>
  </si>
  <si>
    <t>5 car raffle Cella</t>
  </si>
  <si>
    <t>5-Car Raffle Postage</t>
  </si>
  <si>
    <t>5 Car Raffle Postage/SUpplies</t>
  </si>
  <si>
    <t>Basketball Raffle Prindle</t>
  </si>
  <si>
    <t>Football FrenzY - State</t>
  </si>
  <si>
    <t>Christmas Tree SUpplies - DonUts</t>
  </si>
  <si>
    <t>Christmas tree sUpplies</t>
  </si>
  <si>
    <t>Christmas Tree CUttings</t>
  </si>
  <si>
    <t>Christmas Tree SUpplies</t>
  </si>
  <si>
    <t>SqUires AnnUal Dinner</t>
  </si>
  <si>
    <t>Y</t>
  </si>
  <si>
    <t>SqUire AnnUal Dinner</t>
  </si>
  <si>
    <t>SqUire SUpplies</t>
  </si>
  <si>
    <t>SqUires Pancakes</t>
  </si>
  <si>
    <t>Pancakes - SqUires</t>
  </si>
  <si>
    <t>SqUires - OUr DailY Bread</t>
  </si>
  <si>
    <t>SqUires</t>
  </si>
  <si>
    <t>SqUire Seminarian</t>
  </si>
  <si>
    <t>Y11</t>
  </si>
  <si>
    <t>VBS</t>
  </si>
  <si>
    <t>MoUntain View Project OpportUnitY</t>
  </si>
  <si>
    <t>FocUs</t>
  </si>
  <si>
    <t>BrUce Dillon - World YoUth DaY</t>
  </si>
  <si>
    <t>CommUnitY FoUndation of NOVA</t>
  </si>
  <si>
    <t>MUltiple (Angeloti, MUrphY, MUrphY, peason, bUrgess, soUle, careY, ramos, pham)</t>
  </si>
  <si>
    <t>William Baker</t>
  </si>
  <si>
    <t>Y4</t>
  </si>
  <si>
    <t>YoUng Man/YoUng Woman</t>
  </si>
  <si>
    <t>High School GradUation PartY (Woodson, PaUl VI)</t>
  </si>
  <si>
    <t>All Night Grad RHS</t>
  </si>
  <si>
    <t>IRETON</t>
  </si>
  <si>
    <t>Children's Christmas PartY</t>
  </si>
  <si>
    <t>troop 697 scoUting</t>
  </si>
  <si>
    <t>JUstin Keller Eagle Project</t>
  </si>
  <si>
    <t>ScoUting</t>
  </si>
  <si>
    <t>BoY ScoUt Eagle Project</t>
  </si>
  <si>
    <t>St MarY YoUth</t>
  </si>
  <si>
    <t>DUES - Cash</t>
  </si>
  <si>
    <t>DUes - PP/IM</t>
  </si>
  <si>
    <t>DUES (I1) Varied DUes</t>
  </si>
  <si>
    <t>DUES (I1) Varied IM DUes</t>
  </si>
  <si>
    <t>DUES (I1) Gehrki</t>
  </si>
  <si>
    <t>DUES (I1) McAUltY</t>
  </si>
  <si>
    <t>DUES (I1) Silva</t>
  </si>
  <si>
    <t>DUES (I1) SchUmacher</t>
  </si>
  <si>
    <t>DUES (I1) Swedish</t>
  </si>
  <si>
    <t>DUES (I1) Espisito</t>
  </si>
  <si>
    <t>DUes</t>
  </si>
  <si>
    <t>DUes - Credit Card</t>
  </si>
  <si>
    <t>1st DUes</t>
  </si>
  <si>
    <t>DUes (CHECK/CASH)</t>
  </si>
  <si>
    <t>DUes (IM)</t>
  </si>
  <si>
    <t>DUes (SQUARE)</t>
  </si>
  <si>
    <t>Pancake ReimbUrsement (i10) Continental Mills</t>
  </si>
  <si>
    <t>PANCAKE BREAKFAST (I10) Ciaiti</t>
  </si>
  <si>
    <t>Pancake RefUnd</t>
  </si>
  <si>
    <t>Pancake Breakfast RefUnd</t>
  </si>
  <si>
    <t>Spaghetti Dinner (I11) Cella</t>
  </si>
  <si>
    <t>SqUire Pancakes</t>
  </si>
  <si>
    <t>50/50 (Stephen FoUndation)</t>
  </si>
  <si>
    <t>Polish Night  ObUchowski</t>
  </si>
  <si>
    <t>Bingo  Varied (see Attached)</t>
  </si>
  <si>
    <t>Bingo - Fr Stefan HoUse</t>
  </si>
  <si>
    <t>APR</t>
  </si>
  <si>
    <t>bingo- La Sallette</t>
  </si>
  <si>
    <t>MAR</t>
  </si>
  <si>
    <t>bingo - pre-school</t>
  </si>
  <si>
    <t>MAY</t>
  </si>
  <si>
    <t>Football FrenzY</t>
  </si>
  <si>
    <t>Helmet - MilitarY Archdioceses</t>
  </si>
  <si>
    <t>HELMET (I19) Sharp</t>
  </si>
  <si>
    <t>DUes Donations-MilitarY Archdioceses</t>
  </si>
  <si>
    <t>PKD - Cash</t>
  </si>
  <si>
    <t>PKD - Credit Card</t>
  </si>
  <si>
    <t>Can TUrn in Lopez</t>
  </si>
  <si>
    <t>Can RefUnd</t>
  </si>
  <si>
    <t>Initiation Fee (I22)  Gehrki</t>
  </si>
  <si>
    <t>Initiation Fee (I22) McAUltY</t>
  </si>
  <si>
    <t>Initiation Fee (I22) Silva</t>
  </si>
  <si>
    <t>Initiation Fee (I22) SchUmacher</t>
  </si>
  <si>
    <t>Initiation Fee (I22) Swedish</t>
  </si>
  <si>
    <t>Initiation Fee (I22) Espisito</t>
  </si>
  <si>
    <t>DUes Donations</t>
  </si>
  <si>
    <t>DUes Pass ThroUgh to AssemblY</t>
  </si>
  <si>
    <t>RepaYment of SqUire SUpplies</t>
  </si>
  <si>
    <t>Membership State RefUnd</t>
  </si>
  <si>
    <t>Stefan FoUndation</t>
  </si>
  <si>
    <t>DUes Donations-PaUl Stefan HoUse - room</t>
  </si>
  <si>
    <t>DUes Donations - PP</t>
  </si>
  <si>
    <t>DUes Donations - Cash</t>
  </si>
  <si>
    <t>50/50 (I21) DahlhaUser</t>
  </si>
  <si>
    <t>DUes Donations  (I4) Varied (see Attached)</t>
  </si>
  <si>
    <t>Donation - Kovar</t>
  </si>
  <si>
    <t>Kovar CarrY Over</t>
  </si>
  <si>
    <t>5/23/167</t>
  </si>
  <si>
    <t>PANCAKE BREAKFAST (I5) SqUires</t>
  </si>
  <si>
    <t>SqUires FUndRaiser</t>
  </si>
  <si>
    <t>FOOD (I7) DahlhaUser</t>
  </si>
  <si>
    <t>Comments</t>
  </si>
  <si>
    <t>Alter Server Picnic</t>
  </si>
  <si>
    <t>i16</t>
  </si>
  <si>
    <t>Military Arch Donation</t>
  </si>
  <si>
    <t>Assembly Dues Pass Thru</t>
  </si>
  <si>
    <t>State Check</t>
  </si>
  <si>
    <t>Installation Food</t>
  </si>
  <si>
    <t>Installation Misc</t>
  </si>
  <si>
    <t>Installation Flowers</t>
  </si>
  <si>
    <t>Minute Copies</t>
  </si>
  <si>
    <t>Budget Copies</t>
  </si>
  <si>
    <t>Parish Evangilization</t>
  </si>
  <si>
    <t>L13</t>
  </si>
  <si>
    <t>Franciscian Donation</t>
  </si>
  <si>
    <t>Miscellaneous/Plaque</t>
  </si>
  <si>
    <t>State Council (Per Capita)</t>
  </si>
  <si>
    <t>Marih Center</t>
  </si>
  <si>
    <t>L14</t>
  </si>
  <si>
    <t>Christmas Tree Deposit</t>
  </si>
  <si>
    <t>Can Trailer repair</t>
  </si>
  <si>
    <t>Exemplification Robe Cleaning</t>
  </si>
  <si>
    <t>St Mary Passthrough</t>
  </si>
  <si>
    <t>Christmas Tree Permit</t>
  </si>
  <si>
    <t>IRS FEES</t>
  </si>
  <si>
    <t>Marih Center - Bingo Charity</t>
  </si>
  <si>
    <t>Travelers Insurance</t>
  </si>
  <si>
    <t>Football Frenzy - State of VA</t>
  </si>
  <si>
    <t>Cup-o-Joe Food</t>
  </si>
  <si>
    <t>State Badges</t>
  </si>
  <si>
    <t>Table Dolly Repair</t>
  </si>
  <si>
    <t>Café Food</t>
  </si>
  <si>
    <t>Supreme - Supplies</t>
  </si>
  <si>
    <t>Bingo Food/Drink</t>
  </si>
  <si>
    <t>Jovic Embrodery</t>
  </si>
  <si>
    <t>4th degree Exemplification Pass Through</t>
  </si>
  <si>
    <t>3rd Degree Lunch</t>
  </si>
  <si>
    <t>Spaghettii Supplies</t>
  </si>
  <si>
    <t>Christmas Card</t>
  </si>
  <si>
    <t>March for Life Bus</t>
  </si>
  <si>
    <t>Chistmas tree supplies</t>
  </si>
  <si>
    <t>Neddie Mtn Christmas Trees</t>
  </si>
  <si>
    <t>1st° DUES (I1)</t>
  </si>
  <si>
    <t>Squires - Seminarians</t>
  </si>
  <si>
    <t>Marian Homes - Bingo Pass Through</t>
  </si>
  <si>
    <t>Priest Christmas Gifts</t>
  </si>
  <si>
    <t>Assembly Pass  Through</t>
  </si>
  <si>
    <t>Squires Seminarian Support (Sam McIlheran)</t>
  </si>
  <si>
    <t>Support for Calvin Cager (Hara)</t>
  </si>
  <si>
    <t>Squires PANCAKE BREAKFAST (I10)</t>
  </si>
  <si>
    <t>Kovar Donation (i4)</t>
  </si>
  <si>
    <t>Weebly Webservice - Josh Freda</t>
  </si>
  <si>
    <t>St Mary - March for Life Bus</t>
  </si>
  <si>
    <t>Supreme - Culture of Life</t>
  </si>
  <si>
    <t>Meeting Food  - Chris Brensy</t>
  </si>
  <si>
    <t>Christmas Tree Trip (Supplies) - Wassif</t>
  </si>
  <si>
    <t>Transportation of MSGT Murray Remains</t>
  </si>
  <si>
    <t>Admin Supplies</t>
  </si>
  <si>
    <t>Christmas Tree Supplies (Donuts)</t>
  </si>
  <si>
    <t>improve a home - helping hands</t>
  </si>
  <si>
    <t>KCIC Chrismas Cards</t>
  </si>
  <si>
    <t>GK Disc - Masses for deaths</t>
  </si>
  <si>
    <t>Meeting Food - Wilkinson</t>
  </si>
  <si>
    <t>postage</t>
  </si>
  <si>
    <t>ink</t>
  </si>
  <si>
    <t>spaghetti supplies</t>
  </si>
  <si>
    <t>Pancake Supplies - Squires (propane)</t>
  </si>
  <si>
    <t>GK Disc - Prayer Breakfast</t>
  </si>
  <si>
    <t>Life - A Better Choice Ultrasound</t>
  </si>
  <si>
    <t>Freda Donation</t>
  </si>
  <si>
    <t>Squire Dinner - Monica Marayoka</t>
  </si>
  <si>
    <t>Paul Stephan Foundation - State of VA Matching</t>
  </si>
  <si>
    <t>Polish Night - Obuchowski</t>
  </si>
  <si>
    <t>Bingo Pass Through - Reeces Rainbow</t>
  </si>
  <si>
    <t>Squires Seminarian - Samuel McIlheran</t>
  </si>
  <si>
    <t>Life Misc - The Marih Center</t>
  </si>
  <si>
    <t>FCCSL - Softball Registration</t>
  </si>
  <si>
    <t>Paul Stefan Donation</t>
  </si>
  <si>
    <t>Pancake Supplies (Council)</t>
  </si>
  <si>
    <t>Josh Freda - Signup Genius</t>
  </si>
  <si>
    <t>Tri Sales Finance LLC - KOVAR Tootsie</t>
  </si>
  <si>
    <t>All Night Grad Party- Wt Woodson</t>
  </si>
  <si>
    <t>Josh Freda - NetFonts</t>
  </si>
  <si>
    <t>Easter Egg Hunt - Terry Walter</t>
  </si>
  <si>
    <t>Scout troop 697</t>
  </si>
  <si>
    <t>Supplies - Stamps</t>
  </si>
  <si>
    <t>Postmaster - Mailbox</t>
  </si>
  <si>
    <t>Meeting Food - Cella</t>
  </si>
  <si>
    <t>Pancake Supplies (Squires)</t>
  </si>
  <si>
    <t>Polish Night - Barone</t>
  </si>
  <si>
    <t>Scholarship Poster</t>
  </si>
  <si>
    <t>Bingo Charity - TEACH</t>
  </si>
  <si>
    <t>Improve a home - Mannion</t>
  </si>
  <si>
    <t>Six Lenten Fish fry events forecasted for Lent 2025</t>
  </si>
  <si>
    <t>Ed</t>
  </si>
  <si>
    <t>Hosted by Youth Group (?), supported by the council, Squire Roses</t>
  </si>
  <si>
    <r>
      <t>Mechanism to transfer funds raised during our 2 KOVAR drives</t>
    </r>
    <r>
      <rPr>
        <sz val="9"/>
        <color rgb="FF0070C0"/>
        <rFont val="Arial"/>
        <family val="2"/>
      </rPr>
      <t xml:space="preserve"> (I10)</t>
    </r>
    <r>
      <rPr>
        <sz val="9"/>
        <color theme="1"/>
        <rFont val="Arial"/>
        <family val="2"/>
      </rPr>
      <t xml:space="preserve"> to Virginia State KOVAR (pass through)</t>
    </r>
  </si>
  <si>
    <r>
      <t xml:space="preserve">Supporting missions in Guatemala and building schools. </t>
    </r>
    <r>
      <rPr>
        <sz val="9"/>
        <color rgb="FF0070C0"/>
        <rFont val="Arial"/>
        <family val="2"/>
      </rPr>
      <t>Fund with a BINGO Line I-9</t>
    </r>
    <r>
      <rPr>
        <sz val="9"/>
        <color theme="3"/>
        <rFont val="Arial"/>
        <family val="2"/>
      </rPr>
      <t xml:space="preserve">. </t>
    </r>
  </si>
  <si>
    <r>
      <t xml:space="preserve">Support for the Sisters who are members of the SMOS community. </t>
    </r>
    <r>
      <rPr>
        <sz val="9"/>
        <color rgb="FF0070C0"/>
        <rFont val="Arial"/>
        <family val="2"/>
      </rPr>
      <t xml:space="preserve">Fund with a BINGO Line I-9. </t>
    </r>
  </si>
  <si>
    <t xml:space="preserve">Mechanism to send 80% of the money collected via ticket sales to the State Council as shown in budget line  I15.  </t>
  </si>
  <si>
    <t>Council keeps $2 for every $10 ticket sold.</t>
  </si>
  <si>
    <t>Estimated average donation from attending members -- intended to cover meeting expenses.</t>
  </si>
  <si>
    <t>O21</t>
  </si>
  <si>
    <t>Deceased Members plaque nameplates</t>
  </si>
  <si>
    <t>Chili Cook Off</t>
  </si>
  <si>
    <t>Family / Warden</t>
  </si>
  <si>
    <t>$15.00 fee to cover initial expenses to join the council.  See note below</t>
  </si>
  <si>
    <t>Chancellor / Membership Chair needs to collect this fee at Exemplifications</t>
  </si>
  <si>
    <t>NEW Member Initiation Fee (one time $15 for new members)</t>
  </si>
  <si>
    <t>(Calculation (Dues ($36) - supreme &amp; State fees waived ($10.50) / 12 * # full month remaining) + initiation fee ($15))). </t>
  </si>
  <si>
    <t>Annual Dues = $36.00</t>
  </si>
  <si>
    <t>Council Initiation Fee = $15.00</t>
  </si>
  <si>
    <t>Council dues / 12 = cost per month</t>
  </si>
  <si>
    <t>Total Fees for one year</t>
  </si>
  <si>
    <t>Number of full months remaining in year</t>
  </si>
  <si>
    <t xml:space="preserve">Pro-rated fees </t>
  </si>
  <si>
    <t>Pro-rates dues =  ((36 - 6.50 - 4)/12) * # months) + 15 = amount owed</t>
  </si>
  <si>
    <t>Waived Supreme Fees = - $6.50</t>
  </si>
  <si>
    <t>Waived State Fees = - $4.00</t>
  </si>
  <si>
    <t>Total due at Initiation (round off)</t>
  </si>
  <si>
    <t>Food, beer, wine for council meals</t>
  </si>
  <si>
    <t xml:space="preserve"> 85% of dues</t>
  </si>
  <si>
    <t>Persons with disabilities</t>
  </si>
  <si>
    <t>Donation to support Homeless</t>
  </si>
  <si>
    <t>Persons near end of life (need sponsor)</t>
  </si>
  <si>
    <t>Life PD</t>
  </si>
  <si>
    <t>Support Homeless</t>
  </si>
  <si>
    <t xml:space="preserve">Increase from $150. The number of families and children attending has grown. </t>
  </si>
  <si>
    <t>Increase from $1,400 based on historical costs</t>
  </si>
  <si>
    <t>2024-25 Summary of Changes from 2023-24 budget</t>
  </si>
  <si>
    <t>-Need a lead for 2025 Fish Fry
-Funds C16 Fish Fry costs</t>
  </si>
  <si>
    <t>Fr.-Bader-Scholarship-1.pdf (vakofc.org)</t>
  </si>
  <si>
    <t xml:space="preserve">VAKofC sponsored scholarship for HS seniors or brother Knights with dire financial needs. </t>
  </si>
  <si>
    <t xml:space="preserve">Increase from $6,500 because event attendance more than doubled in 2024. *Includes $800 to purchase additional fryer and to increase purchases of food and supplies. </t>
  </si>
  <si>
    <t>*Historically, only 85% of members pay their dues</t>
  </si>
  <si>
    <t>See I15 for income and F6 for releasing the funds to the selected beneficiary</t>
  </si>
  <si>
    <t>Funding for D-14 hospitality room at State convensions</t>
  </si>
  <si>
    <t xml:space="preserve">Moving to cash prizes for the Bingo. May sponsor up to 8 events in the FY.   </t>
  </si>
  <si>
    <t>pass through</t>
  </si>
  <si>
    <t>Restart activity?  Sufficient amount of plastic eggs in storage.</t>
  </si>
  <si>
    <t>Decrease from $200
Requires a sponsor</t>
  </si>
  <si>
    <t>Assumes 16 brothers each donate $10 per meeting for food &amp; alcohol @ 22 meetings.</t>
  </si>
  <si>
    <t>Combine with other event? Spaghetti dinner?</t>
  </si>
  <si>
    <t xml:space="preserve">Pass through </t>
  </si>
  <si>
    <t>All donations received will be sent to the State Council via budget line L2 Kovar Donations (pass through)</t>
  </si>
  <si>
    <t>Reeces Rainbow</t>
  </si>
  <si>
    <t xml:space="preserve">Bingo fundraiser; https://reecesrainbow.org/ </t>
  </si>
  <si>
    <t>L11</t>
  </si>
  <si>
    <t>Fund with two Bingo events</t>
  </si>
  <si>
    <r>
      <rPr>
        <i/>
        <sz val="9"/>
        <color theme="1"/>
        <rFont val="Arial"/>
        <family val="2"/>
      </rPr>
      <t>TBD</t>
    </r>
    <r>
      <rPr>
        <sz val="9"/>
        <color theme="1"/>
        <rFont val="Arial"/>
        <family val="2"/>
      </rPr>
      <t xml:space="preserve"> event for Bingo</t>
    </r>
  </si>
  <si>
    <t>Per Capita -VA
($7.00/K/yr. State Council)</t>
  </si>
  <si>
    <t>2024-25 Budget</t>
  </si>
  <si>
    <t xml:space="preserve">Cancel until have a vounteer </t>
  </si>
  <si>
    <t>2024-25 Council  8600 Budget, Grand Knight Joseph Minus</t>
  </si>
  <si>
    <t xml:space="preserve">Notes/Comments: </t>
  </si>
  <si>
    <t>Don Mailki,   GK</t>
  </si>
  <si>
    <t>Youth</t>
  </si>
  <si>
    <t>Support to the Fairfax County Probation Office Food Insecurity Support, pass thru from line I22 (Holiday Food Baskets)</t>
  </si>
  <si>
    <t>Estimate: $5,500</t>
  </si>
  <si>
    <t>Estimate: $800 per event  *Depends on attendance</t>
  </si>
  <si>
    <t>Dues for Assembly</t>
  </si>
  <si>
    <t>Dues from I24, Assembly 3596 dues collected through Council Credit Card capability</t>
  </si>
  <si>
    <t>Expenses reimbursed by the parish, pass through from Line I23</t>
  </si>
  <si>
    <t>Reimbursed expense</t>
  </si>
  <si>
    <t>Pass through to Line C17</t>
  </si>
  <si>
    <t xml:space="preserve">Combining the old line C22-Duffy the Courage Lion Program; C3-Global Wheelchair; VKCCI contribution. 
VA KofC State will identify 2 or 3 State programs to support.  
VAKofC  has not forecasted what their 2024-25 priority programs will be.  </t>
  </si>
  <si>
    <t xml:space="preserve">Income from conducting all-cash prize Bingos. Funds left over after expenses are passed-thru to the charity that sponsored the event. Planning assumption is $500 dontations per event. </t>
  </si>
  <si>
    <t>Feed the Homeless</t>
  </si>
  <si>
    <t xml:space="preserve">SMOS Hypothermia shelter cancelled. </t>
  </si>
  <si>
    <t>C3: Combined contributions to VA KofC and VKCCI charitities on Line C3</t>
  </si>
  <si>
    <r>
      <t xml:space="preserve">Sponsors receive proceeds as a pass-through; Plan 6 evnts; Estimate $500-to-$1000 donations at each event   
</t>
    </r>
    <r>
      <rPr>
        <sz val="8"/>
        <color rgb="FF000000"/>
        <rFont val="Arial"/>
        <family val="2"/>
      </rPr>
      <t>1. Labor Day cookout Bingo (prizes): 
2. Sisters of LaSalette; H8
3. TEACH; H6
4. Reeses Rainbow; L11 
5. Life event (TBD): L12
6. Angel Scholarships for pre-school (two events): C8</t>
    </r>
  </si>
  <si>
    <t>Actual donation depends on how many people the sponsor can get to attend</t>
  </si>
  <si>
    <t>Fund with a Bingo event</t>
  </si>
  <si>
    <t>VKCCI -or- Meal packing event for homeles with RE/Youth Ministry</t>
  </si>
  <si>
    <t>Dues that pass through (less processing fees) to Assembly 3596; Line O33</t>
  </si>
  <si>
    <t>Home aid projects</t>
  </si>
  <si>
    <t>Estimate: $1,200</t>
  </si>
  <si>
    <t>C16: Increased Lenten Fish Fry costs and income. Added cost for a new fryer to support Fish Fry</t>
  </si>
  <si>
    <t>L5: SMOS cancelled Hypothermia shelter so changed name to Feed the Homeless</t>
  </si>
  <si>
    <t>American Heritage Girls: Joe Moritz; St. Raymond of Penafort Roman Catholic Church, 8750 Pohick Road, Springfield, VA 22153</t>
  </si>
  <si>
    <t>Mary Elizabeth Seiffert, R.E. Administrative Assistant, Marys@stmaryofsorrows.org
703.978.4141 Ext 128</t>
  </si>
  <si>
    <t>2023 New Member Fees:</t>
  </si>
  <si>
    <r>
      <rPr>
        <b/>
        <sz val="11"/>
        <color theme="1"/>
        <rFont val="Arial"/>
        <family val="2"/>
      </rPr>
      <t>New Member Initiation Fee</t>
    </r>
    <r>
      <rPr>
        <sz val="11"/>
        <color theme="1"/>
        <rFont val="Arial"/>
        <family val="2"/>
      </rPr>
      <t xml:space="preserve"> - helps pay for pins, hat, name-badge</t>
    </r>
  </si>
  <si>
    <t>*Pro-rated dues</t>
  </si>
  <si>
    <t>Polish Night Donations</t>
  </si>
  <si>
    <t xml:space="preserve">Donations are collected &amp; passed to charity (line F6) picked by GK and Polish Night Team Lead. Expenses are funded on F1. </t>
  </si>
  <si>
    <t>Assembly Event</t>
  </si>
  <si>
    <t xml:space="preserve">Projected income from ticket sales. International Program. Expense tracked on line  F2.  Proceeds are a pass through to charity. </t>
  </si>
  <si>
    <t>Funding for supplies (plates, flatware, drinks)</t>
  </si>
  <si>
    <t xml:space="preserve">I9: Bingo is a pass-through fund raiser. Each Bingo "sponsor" organization will receive the Bingo proceeds (less our expenses) for their Bingo event. This incentivizes the organization to advertise and to bring more people to their Bingo event.   </t>
  </si>
  <si>
    <t>O21: added expense for deceased member nameplates</t>
  </si>
  <si>
    <t>Reimbursed by parish for expenses on Line F10, Corpus Christi Cookout</t>
  </si>
  <si>
    <t>Corpus Christi Cook--out Reimbursement</t>
  </si>
  <si>
    <t>Holiday Food Baskets
T-giving &amp; Christmas Donations</t>
  </si>
  <si>
    <t>Estimated income: $500</t>
  </si>
  <si>
    <t>Engraved plates cost $15 per name; estimate need for 25 nameplates to update the Plaque  = $375</t>
  </si>
  <si>
    <t>*Assumes VBS Program in 2025 RE K-6 (Aida Willis)
Alternate: SMOS Catechist support</t>
  </si>
  <si>
    <t>GK selects charity to receive the funding - see C19</t>
  </si>
  <si>
    <t>GK's reserve</t>
  </si>
  <si>
    <t>F8: Easter Egg hunt- decreased to $75</t>
  </si>
  <si>
    <t>O14; O17; C11; F12: Increased for food-related costs (inflation)</t>
  </si>
  <si>
    <r>
      <rPr>
        <b/>
        <sz val="9"/>
        <color theme="4" tint="-0.249977111117893"/>
        <rFont val="Arial"/>
        <family val="2"/>
      </rPr>
      <t>Youth:</t>
    </r>
    <r>
      <rPr>
        <sz val="9"/>
        <color theme="1"/>
        <rFont val="Arial"/>
        <family val="2"/>
      </rPr>
      <t xml:space="preserve"> Allocation: 2 scholarships for those attending Catholic High Schools and 3 for those attending Catholic Colleges or Universities</t>
    </r>
  </si>
  <si>
    <t xml:space="preserve">Estimate $9,100 gross: 
Sell 700 plates @ $13 = $9,100 </t>
  </si>
  <si>
    <t>Membership</t>
  </si>
  <si>
    <t>Total Income from Dues</t>
  </si>
  <si>
    <t>*See Annual_Dues tab for breakout</t>
  </si>
  <si>
    <t xml:space="preserve">Supports Virginia Special Olympics or Viginia Polar Plunge fund raising. Program focuses exclusively on Northern Virginia which hosts over 3,500 competitors in sports year-round in Fairfax, Alexandria and Arlington. </t>
  </si>
  <si>
    <t xml:space="preserve">Placeholder for Bingo event. Need a charity that will agree to sponsor the event. </t>
  </si>
  <si>
    <t>Polar Plunge donation</t>
  </si>
  <si>
    <t>Support the Council's Polar Plunge team</t>
  </si>
  <si>
    <t xml:space="preserve">L13: Added a donation for the Council's Virginia Polar Plunge team. </t>
  </si>
  <si>
    <t>Notes/Comments
Eric Maryoka Program Lead</t>
  </si>
  <si>
    <t>Notes/Comments
Don Mailki Program Lead</t>
  </si>
  <si>
    <t>Notes/Comments: 
Terry Walter, Community Program Lead</t>
  </si>
  <si>
    <r>
      <t xml:space="preserve">Notes/Comments: 
</t>
    </r>
    <r>
      <rPr>
        <b/>
        <i/>
        <sz val="9"/>
        <color rgb="FFFF0000"/>
        <rFont val="Arial"/>
        <family val="2"/>
      </rPr>
      <t>Need a Program Director</t>
    </r>
  </si>
  <si>
    <t>Community</t>
  </si>
  <si>
    <t>Family</t>
  </si>
  <si>
    <t>Faith</t>
  </si>
  <si>
    <t xml:space="preserve">Total </t>
  </si>
  <si>
    <t>2022-23 Budget</t>
  </si>
  <si>
    <t>2023-24 Budget</t>
  </si>
  <si>
    <t>Council Ops</t>
  </si>
  <si>
    <t>Expenses for participation costs</t>
  </si>
  <si>
    <t>Offering $50 to the winners in each of 5 categories (grades 8-12</t>
  </si>
  <si>
    <t xml:space="preserve">Purchases of various supplies and rental of rented refrigerated trailer for the September Labor Day chicken BBQ dinner </t>
  </si>
  <si>
    <t>Lunch following Veteran's Day Mass. This is a mechanism to pay the venue for the meals. Income tracked on budget line  I16 (pass through)</t>
  </si>
  <si>
    <t>Estimate:$   ?</t>
  </si>
  <si>
    <t>Funding reflects $2,500  for the Pastor and $1,500 for each of the other 2 priests</t>
  </si>
  <si>
    <r>
      <t>Financially supporting 5 individuals with</t>
    </r>
    <r>
      <rPr>
        <sz val="9"/>
        <color rgb="FF0070C0"/>
        <rFont val="Arial"/>
        <family val="2"/>
      </rPr>
      <t xml:space="preserve"> $600</t>
    </r>
    <r>
      <rPr>
        <sz val="9"/>
        <color theme="1"/>
        <rFont val="Arial"/>
        <family val="2"/>
      </rPr>
      <t xml:space="preserve"> each:
3 Diocesan seminarians, one of whom will be from the Military Archdiocese, 
2 women discerning religious life (See note below). 
-Stipends from Supreme under the RSVP program are tracked on budget line I11</t>
    </r>
  </si>
  <si>
    <t>Funding reflects $300 for each Deacon</t>
  </si>
  <si>
    <t>H1, H3, H4: Increased amounts for Gifts to Seminarians, Deacons, &amp; Priests</t>
  </si>
  <si>
    <t>Assistance &amp; Support after Pregnacy (ASAP)</t>
  </si>
  <si>
    <t>Special needs adoption support</t>
  </si>
  <si>
    <t>Discretionary</t>
  </si>
  <si>
    <r>
      <t xml:space="preserve">Supreme Program helping Knights and Churches in Ukraine. </t>
    </r>
    <r>
      <rPr>
        <sz val="9"/>
        <color rgb="FF0070C0"/>
        <rFont val="Arial"/>
        <family val="2"/>
      </rPr>
      <t>Additional funding by line items I16 (Veteran's Day Luncheon) &amp; F6 (Polish Night)</t>
    </r>
  </si>
  <si>
    <t>Notes on changes:</t>
  </si>
  <si>
    <t xml:space="preserve">Grand Knight summary </t>
  </si>
  <si>
    <t xml:space="preserve">C10: Increase Father Bader scholarship donation </t>
  </si>
  <si>
    <t>Cash Reserves  *</t>
  </si>
  <si>
    <t xml:space="preserve">Note: The Council is in excellent financial shape. I've updated the budget with a focus on maintaining our balance of charitable giving. I increased our donations and budgets for all food-related events to account for inflation. The Faith and Life budgets appear lower than previous years because we will use Bingo pass through to fund events instead of Council budget. I removed all "income" dollar amounts from pass-through events since these are just estimates. Each fund-raising event provides a pass-through income that is then provided, after we deduct any costs, as a charitable donation. The total costs and net income as a donation will be captured at the time of the event. </t>
  </si>
  <si>
    <t xml:space="preserve">I2: New Member Fee. Though not a new fee, this was not collected in past years. New members should pay at the new Member's Exemplification. </t>
  </si>
  <si>
    <t>FY24 Total: $8,230</t>
  </si>
  <si>
    <t>FY24 Total: $5,292</t>
  </si>
  <si>
    <t>FY24 actual: $13,568
Estimate $13,000 gross for 6 Fish Fry events</t>
  </si>
  <si>
    <t>FY24 actual: $647</t>
  </si>
  <si>
    <t>FY24 actual: 2,600
Estimate: $2,000</t>
  </si>
  <si>
    <r>
      <rPr>
        <sz val="9"/>
        <rFont val="Arial"/>
        <family val="2"/>
      </rPr>
      <t>FY24 actual: $1,706</t>
    </r>
    <r>
      <rPr>
        <sz val="9"/>
        <color rgb="FF0070C0"/>
        <rFont val="Arial"/>
        <family val="2"/>
      </rPr>
      <t xml:space="preserve">
</t>
    </r>
  </si>
  <si>
    <t>FY24 actual: $968</t>
  </si>
  <si>
    <t>FY24 actual: $140</t>
  </si>
  <si>
    <t>FY24 actual: $804</t>
  </si>
  <si>
    <t>FY24 actual: $3,016 - $800 expenses
Estimate: $2000</t>
  </si>
  <si>
    <t>FY24 actual: $2,750
Estimate: $2,500</t>
  </si>
  <si>
    <t xml:space="preserve">Reduced from $1,000 </t>
  </si>
  <si>
    <t xml:space="preserve">FY24 actual: $3,016 Estimated total income: $3,000
Donations= total - $800 expenses: 
</t>
  </si>
  <si>
    <t>Sean Piwowar going to Dominicans</t>
  </si>
  <si>
    <t>-Half of the cost is for beer &amp; wine. 
-GK will ask Assembly 3596 to cost share because Council 8600 still buys all the alcohol for the Assembly. 
-Increase meal donation to a la carte for dinner ($10) &amp; drinks ($1-4)   (Income Line I-12)</t>
  </si>
  <si>
    <t xml:space="preserve">Increased by $1,000 from FY23-24. Funds meals for 22 meetings; includes open meetings &amp; Exemplification receptions. </t>
  </si>
  <si>
    <t>O9 notes</t>
  </si>
  <si>
    <t>O10 notes</t>
  </si>
  <si>
    <t>*as of May 2023</t>
  </si>
  <si>
    <t>Request $10.00 donation for meal and $1 to $4 per drink (TBD)</t>
  </si>
  <si>
    <t>Requirement is for six boxes to meet VA KofC requirements. Totals $1320 plus shipping; Propose to send 3 each to Bonnie Brae Elementary &amp; Mariah Center</t>
  </si>
  <si>
    <t>Assembly (4th Degre) funded &amp; sponsored event</t>
  </si>
  <si>
    <t xml:space="preserve">Increase to support SMOS participation. </t>
  </si>
  <si>
    <r>
      <t xml:space="preserve">Includes proposed support includes: SMOS parishioner </t>
    </r>
    <r>
      <rPr>
        <b/>
        <sz val="10"/>
        <color theme="1"/>
        <rFont val="Calibri"/>
        <family val="2"/>
      </rPr>
      <t>Susan Robarge</t>
    </r>
    <r>
      <rPr>
        <sz val="10"/>
        <color theme="1"/>
        <rFont val="Calibri"/>
        <family val="2"/>
      </rPr>
      <t xml:space="preserve"> with Servants of the Lord &amp; the Virgin of Matara</t>
    </r>
  </si>
  <si>
    <t>Includes proposed support to: Susie Maurer $500, Brother Knight  Sean Piwowar $500, and GMU FOCUS $250</t>
  </si>
  <si>
    <t>Aid and Support After Pregnancy (ASAP) is a KofC Supreme Council initiative to support all stages of life.  Supreme will make direct contributions to qualified organizations receiving council funding of $500 or more, but not to exceed $1,000 in total contributions (i.e., two approved council programs)</t>
  </si>
  <si>
    <t>Web Services:  This will include $94.50 for splitting expenses with the Assembly for Uber Conferences/Dial pad services.   
Other web-based costs (based on 2023 actuals) include: 
(1) Weebly Business Hosting Plan $469.00 for 2 years;  
(2) Network Solutions Domain, Private Registration $64.95 for  5 years; 
Web Forwarding $64.95 for 5 years; 
Domain.COM $147.97 for 5 years.  
The council uses Nefronts to provide email addresses that contain our Domain name, costs $119.40 for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</si>
</sst>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_(&quot;$&quot;* \(#,##0.00\);_(&quot;$&quot;* &quot;-&quot;??_);_(@_)"/>
    <numFmt numFmtId="164" formatCode="[$-409]m/d/yyyy"/>
    <numFmt numFmtId="165" formatCode="&quot;$&quot;#,##0.00"/>
    <numFmt numFmtId="166" formatCode="0.0%"/>
    <numFmt numFmtId="167" formatCode="[$-409]General"/>
    <numFmt numFmtId="168" formatCode="&quot; $&quot;#,##0.00&quot; &quot;;&quot; $(&quot;#,##0.00&quot;)&quot;;&quot; $-&quot;#&quot; &quot;;@&quot; &quot;"/>
    <numFmt numFmtId="169" formatCode="#,##0.00&quot; &quot;;&quot; (&quot;#,##0.00&quot;)&quot;;&quot; -&quot;#&quot; &quot;;@&quot; &quot;"/>
    <numFmt numFmtId="170" formatCode="&quot;$&quot;#,##0.00&quot; &quot;;&quot;($&quot;#,##0.00&quot;)&quot;"/>
    <numFmt numFmtId="171" formatCode="[$-409]d\-mmm\-yy"/>
    <numFmt numFmtId="172" formatCode="m/d/yy;@"/>
    <numFmt numFmtId="173" formatCode="m/d/yyyy;@"/>
    <numFmt numFmtId="174" formatCode="mm/dd/yy;@"/>
    <numFmt numFmtId="175" formatCode="[$-409]0"/>
    <numFmt numFmtId="176" formatCode="mm/dd/yy"/>
    <numFmt numFmtId="177" formatCode="[$-409]0%"/>
    <numFmt numFmtId="178" formatCode="[$$-409]#,##0.00;[Red]&quot;-&quot;[$$-409]#,##0.00"/>
    <numFmt numFmtId="179" formatCode="[$-409]#,##0"/>
    <numFmt numFmtId="180" formatCode="&quot;$&quot;#,##0.00&quot; &quot;;[Red]&quot;($&quot;#,##0.00&quot;)&quot;"/>
    <numFmt numFmtId="181" formatCode="&quot; $&quot;#,##0&quot; &quot;;&quot; $(&quot;#,##0&quot;)&quot;;&quot; $-&quot;#&quot; &quot;;@&quot; &quot;"/>
    <numFmt numFmtId="182" formatCode="&quot;$&quot;#,##0"/>
    <numFmt numFmtId="183" formatCode="#,##0;[Red]#,##0"/>
    <numFmt numFmtId="184" formatCode="[$$-409]#,##0;[Red]&quot;-&quot;[$$-409]#,##0"/>
    <numFmt numFmtId="185" formatCode="_(&quot;$&quot;* #,##0_);_(&quot;$&quot;* \(#,##0\);_(&quot;$&quot;* &quot;-&quot;??_);_(@_)"/>
  </numFmts>
  <fonts count="124" x14ac:knownFonts="1">
    <font>
      <sz val="11"/>
      <color theme="1"/>
      <name val="Arial"/>
      <family val="2"/>
    </font>
    <font>
      <sz val="11"/>
      <color theme="1"/>
      <name val="Arial"/>
      <family val="2"/>
    </font>
    <font>
      <sz val="11"/>
      <color rgb="FFFF0000"/>
      <name val="Arial"/>
      <family val="2"/>
    </font>
    <font>
      <sz val="14"/>
      <color theme="1"/>
      <name val="Calibri Light"/>
      <family val="2"/>
    </font>
    <font>
      <b/>
      <i/>
      <sz val="16"/>
      <color theme="1"/>
      <name val="Arial"/>
      <family val="2"/>
    </font>
    <font>
      <sz val="10"/>
      <color theme="1"/>
      <name val="Verdana"/>
      <family val="2"/>
    </font>
    <font>
      <sz val="10"/>
      <color theme="1"/>
      <name val="Arial"/>
      <family val="2"/>
    </font>
    <font>
      <sz val="11"/>
      <color rgb="FF000000"/>
      <name val="Calibri"/>
      <family val="2"/>
    </font>
    <font>
      <sz val="10"/>
      <color theme="1"/>
      <name val="Calibri"/>
      <family val="2"/>
    </font>
    <font>
      <b/>
      <sz val="11"/>
      <color theme="1"/>
      <name val="Arial"/>
      <family val="2"/>
    </font>
    <font>
      <b/>
      <i/>
      <u/>
      <sz val="11"/>
      <color theme="1"/>
      <name val="Arial"/>
      <family val="2"/>
    </font>
    <font>
      <sz val="9"/>
      <color theme="1"/>
      <name val="Agency FB"/>
      <family val="2"/>
    </font>
    <font>
      <sz val="9"/>
      <color theme="1"/>
      <name val="Calibri Light"/>
      <family val="2"/>
    </font>
    <font>
      <sz val="9"/>
      <color rgb="FF000000"/>
      <name val="Calibri Light"/>
      <family val="2"/>
    </font>
    <font>
      <sz val="9"/>
      <color rgb="FF000000"/>
      <name val="Calibri"/>
      <family val="2"/>
    </font>
    <font>
      <b/>
      <sz val="9"/>
      <color theme="1"/>
      <name val="Arial"/>
      <family val="2"/>
    </font>
    <font>
      <b/>
      <sz val="11"/>
      <color rgb="FF000000"/>
      <name val="Calibri"/>
      <family val="2"/>
    </font>
    <font>
      <sz val="9"/>
      <color theme="1"/>
      <name val="Calibri"/>
      <family val="2"/>
    </font>
    <font>
      <sz val="9"/>
      <color theme="1"/>
      <name val="Arial"/>
      <family val="2"/>
    </font>
    <font>
      <sz val="9"/>
      <color rgb="FF000000"/>
      <name val="Corbel"/>
      <family val="2"/>
    </font>
    <font>
      <sz val="11"/>
      <color rgb="FF000000"/>
      <name val="Corbel"/>
      <family val="2"/>
    </font>
    <font>
      <b/>
      <i/>
      <sz val="11"/>
      <color theme="1"/>
      <name val="Arial"/>
      <family val="2"/>
    </font>
    <font>
      <b/>
      <sz val="11"/>
      <color rgb="FFC00000"/>
      <name val="Arial"/>
      <family val="2"/>
    </font>
    <font>
      <b/>
      <sz val="11"/>
      <color rgb="FFFF0000"/>
      <name val="Arial"/>
      <family val="2"/>
    </font>
    <font>
      <sz val="11"/>
      <color rgb="FFC00000"/>
      <name val="Arial"/>
      <family val="2"/>
    </font>
    <font>
      <b/>
      <sz val="9"/>
      <color rgb="FFFF0000"/>
      <name val="Arial"/>
      <family val="2"/>
    </font>
    <font>
      <b/>
      <sz val="10"/>
      <color rgb="FFFFFFFF"/>
      <name val="Arial"/>
      <family val="2"/>
    </font>
    <font>
      <b/>
      <sz val="9"/>
      <color rgb="FF000000"/>
      <name val="Arial"/>
      <family val="2"/>
    </font>
    <font>
      <sz val="9"/>
      <color rgb="FFFF0000"/>
      <name val="Arial"/>
      <family val="2"/>
    </font>
    <font>
      <b/>
      <i/>
      <sz val="12"/>
      <color rgb="FFC00000"/>
      <name val="Arial"/>
      <family val="2"/>
    </font>
    <font>
      <sz val="9"/>
      <color rgb="FF000000"/>
      <name val="Arial"/>
      <family val="2"/>
    </font>
    <font>
      <sz val="9"/>
      <color rgb="FFFF6600"/>
      <name val="Arial"/>
      <family val="2"/>
    </font>
    <font>
      <b/>
      <i/>
      <sz val="11"/>
      <color rgb="FFC00000"/>
      <name val="Arial"/>
      <family val="2"/>
    </font>
    <font>
      <sz val="9"/>
      <color rgb="FF0000FF"/>
      <name val="Arial"/>
      <family val="2"/>
    </font>
    <font>
      <b/>
      <i/>
      <sz val="9"/>
      <color theme="1"/>
      <name val="Arial"/>
      <family val="2"/>
    </font>
    <font>
      <sz val="10"/>
      <color rgb="FFFF0000"/>
      <name val="Calibri"/>
      <family val="2"/>
    </font>
    <font>
      <u/>
      <sz val="10"/>
      <color rgb="FFFF0000"/>
      <name val="Calibri"/>
      <family val="2"/>
    </font>
    <font>
      <sz val="10"/>
      <color rgb="FF000000"/>
      <name val="Calibri"/>
      <family val="2"/>
    </font>
    <font>
      <b/>
      <sz val="9"/>
      <color rgb="FFC00000"/>
      <name val="Arial"/>
      <family val="2"/>
    </font>
    <font>
      <b/>
      <sz val="9"/>
      <color rgb="FFFFFFFF"/>
      <name val="Arial"/>
      <family val="2"/>
    </font>
    <font>
      <b/>
      <i/>
      <sz val="9"/>
      <color rgb="FFFFFF00"/>
      <name val="Arial"/>
      <family val="2"/>
    </font>
    <font>
      <b/>
      <i/>
      <sz val="9"/>
      <color rgb="FFFFFFFF"/>
      <name val="Arial"/>
      <family val="2"/>
    </font>
    <font>
      <sz val="9"/>
      <color rgb="FFC00000"/>
      <name val="Arial"/>
      <family val="2"/>
    </font>
    <font>
      <sz val="9"/>
      <color theme="1"/>
      <name val="Arial Narrow"/>
      <family val="2"/>
    </font>
    <font>
      <sz val="10"/>
      <color theme="1"/>
      <name val="Arial Narrow"/>
      <family val="2"/>
    </font>
    <font>
      <sz val="10"/>
      <color rgb="FFC00000"/>
      <name val="Calibri"/>
      <family val="2"/>
    </font>
    <font>
      <b/>
      <sz val="10"/>
      <color theme="1"/>
      <name val="Arial"/>
      <family val="2"/>
    </font>
    <font>
      <b/>
      <sz val="10"/>
      <color rgb="FFC00000"/>
      <name val="Arial"/>
      <family val="2"/>
    </font>
    <font>
      <sz val="10"/>
      <color rgb="FF000000"/>
      <name val="Arial"/>
      <family val="2"/>
    </font>
    <font>
      <b/>
      <sz val="11"/>
      <color rgb="FFFFFFFF"/>
      <name val="Arial Narrow"/>
      <family val="2"/>
    </font>
    <font>
      <sz val="10"/>
      <color rgb="FFFFFFFF"/>
      <name val="Arial Narrow"/>
      <family val="2"/>
    </font>
    <font>
      <sz val="9"/>
      <color rgb="FFC00000"/>
      <name val="Arial Narrow"/>
      <family val="2"/>
    </font>
    <font>
      <b/>
      <sz val="10"/>
      <color theme="1"/>
      <name val="Calibri"/>
      <family val="2"/>
    </font>
    <font>
      <sz val="10"/>
      <color rgb="FFC00000"/>
      <name val="Arial Narrow"/>
      <family val="2"/>
    </font>
    <font>
      <b/>
      <sz val="10"/>
      <color theme="1"/>
      <name val="Arial Narrow"/>
      <family val="2"/>
    </font>
    <font>
      <b/>
      <sz val="12"/>
      <color rgb="FFFFFFFF"/>
      <name val="Calibri"/>
      <family val="2"/>
    </font>
    <font>
      <b/>
      <i/>
      <sz val="12"/>
      <color rgb="FFC00000"/>
      <name val="Arial Narrow"/>
      <family val="2"/>
    </font>
    <font>
      <b/>
      <sz val="11"/>
      <color rgb="FFC00000"/>
      <name val="Arial Narrow"/>
      <family val="2"/>
    </font>
    <font>
      <b/>
      <sz val="11"/>
      <color theme="1"/>
      <name val="Arial Narrow"/>
      <family val="2"/>
    </font>
    <font>
      <b/>
      <sz val="11"/>
      <color rgb="FFFF0000"/>
      <name val="Arial Narrow"/>
      <family val="2"/>
    </font>
    <font>
      <sz val="11"/>
      <color theme="1"/>
      <name val="Arial Narrow"/>
      <family val="2"/>
    </font>
    <font>
      <sz val="11"/>
      <color rgb="FF000000"/>
      <name val="Arial Narrow"/>
      <family val="2"/>
    </font>
    <font>
      <sz val="11"/>
      <color rgb="FFC00000"/>
      <name val="Arial Narrow"/>
      <family val="2"/>
    </font>
    <font>
      <sz val="11"/>
      <color theme="1"/>
      <name val="Calibri"/>
      <family val="2"/>
    </font>
    <font>
      <sz val="11"/>
      <color rgb="FFC00000"/>
      <name val="Calibri"/>
      <family val="2"/>
    </font>
    <font>
      <b/>
      <sz val="11"/>
      <color theme="1"/>
      <name val="Calibri"/>
      <family val="2"/>
    </font>
    <font>
      <b/>
      <sz val="11"/>
      <color rgb="FFFFFFFF"/>
      <name val="Arial"/>
      <family val="2"/>
    </font>
    <font>
      <sz val="11"/>
      <color rgb="FFFF0000"/>
      <name val="Calibri"/>
      <family val="2"/>
    </font>
    <font>
      <b/>
      <sz val="11"/>
      <color rgb="FFFFFFFF"/>
      <name val="Calibri"/>
      <family val="2"/>
    </font>
    <font>
      <strike/>
      <sz val="9"/>
      <color theme="1"/>
      <name val="Arial"/>
      <family val="2"/>
    </font>
    <font>
      <sz val="11"/>
      <color rgb="FF0000FF"/>
      <name val="Calibri"/>
      <family val="2"/>
    </font>
    <font>
      <b/>
      <sz val="11"/>
      <color rgb="FFFF0000"/>
      <name val="Calibri"/>
      <family val="2"/>
    </font>
    <font>
      <b/>
      <sz val="11"/>
      <color rgb="FF0000CC"/>
      <name val="Arial"/>
      <family val="2"/>
    </font>
    <font>
      <b/>
      <u/>
      <sz val="11"/>
      <color theme="1"/>
      <name val="Arial"/>
      <family val="2"/>
    </font>
    <font>
      <u/>
      <sz val="11"/>
      <color theme="1"/>
      <name val="Arial"/>
      <family val="2"/>
    </font>
    <font>
      <sz val="11"/>
      <color rgb="FF0000CC"/>
      <name val="Arial"/>
      <family val="2"/>
    </font>
    <font>
      <i/>
      <sz val="9"/>
      <color rgb="FF000000"/>
      <name val="Calibri"/>
      <family val="2"/>
    </font>
    <font>
      <sz val="9"/>
      <color theme="1"/>
      <name val="Century Gothic"/>
      <family val="2"/>
    </font>
    <font>
      <i/>
      <sz val="9"/>
      <color theme="1"/>
      <name val="Calibri"/>
      <family val="2"/>
    </font>
    <font>
      <sz val="6"/>
      <color theme="1"/>
      <name val="Calibri"/>
      <family val="2"/>
    </font>
    <font>
      <sz val="9"/>
      <color rgb="FF0070C0"/>
      <name val="Arial"/>
      <family val="2"/>
    </font>
    <font>
      <sz val="9"/>
      <name val="Arial"/>
      <family val="2"/>
    </font>
    <font>
      <sz val="9"/>
      <color theme="3"/>
      <name val="Arial"/>
      <family val="2"/>
    </font>
    <font>
      <b/>
      <sz val="8"/>
      <color rgb="FFFF3333"/>
      <name val="Arial"/>
      <family val="2"/>
    </font>
    <font>
      <sz val="8"/>
      <color rgb="FF000000"/>
      <name val="Arial"/>
      <family val="2"/>
    </font>
    <font>
      <sz val="11"/>
      <name val="Calibri"/>
      <family val="2"/>
    </font>
    <font>
      <b/>
      <sz val="11"/>
      <name val="Calibri"/>
      <family val="2"/>
    </font>
    <font>
      <b/>
      <sz val="9"/>
      <color theme="2" tint="-0.499984740745262"/>
      <name val="Arial"/>
      <family val="2"/>
    </font>
    <font>
      <b/>
      <sz val="11"/>
      <color theme="2" tint="-0.499984740745262"/>
      <name val="Calibri"/>
      <family val="2"/>
    </font>
    <font>
      <sz val="11"/>
      <color rgb="FF242424"/>
      <name val="Segoe UI"/>
      <family val="2"/>
    </font>
    <font>
      <b/>
      <sz val="12"/>
      <color theme="4"/>
      <name val="Arial"/>
      <family val="2"/>
    </font>
    <font>
      <sz val="11"/>
      <color theme="1" tint="0.499984740745262"/>
      <name val="Arial"/>
      <family val="2"/>
    </font>
    <font>
      <sz val="11"/>
      <color rgb="FFFF0000"/>
      <name val="Segoe UI"/>
      <family val="2"/>
    </font>
    <font>
      <b/>
      <sz val="9"/>
      <color theme="4"/>
      <name val="Arial"/>
      <family val="2"/>
    </font>
    <font>
      <sz val="10"/>
      <color theme="4"/>
      <name val="Calibri"/>
      <family val="2"/>
    </font>
    <font>
      <sz val="8"/>
      <color theme="4"/>
      <name val="Calibri"/>
      <family val="2"/>
    </font>
    <font>
      <sz val="11"/>
      <color rgb="FF3333FF"/>
      <name val="Calibri"/>
      <family val="2"/>
    </font>
    <font>
      <sz val="10"/>
      <color rgb="FF242424"/>
      <name val="Aptos"/>
      <family val="2"/>
    </font>
    <font>
      <sz val="9"/>
      <color theme="4"/>
      <name val="Arial"/>
      <family val="2"/>
    </font>
    <font>
      <u/>
      <sz val="11"/>
      <color theme="10"/>
      <name val="Arial"/>
      <family val="2"/>
    </font>
    <font>
      <sz val="12"/>
      <color rgb="FF000000"/>
      <name val="Calibri"/>
      <family val="2"/>
    </font>
    <font>
      <sz val="11"/>
      <color theme="4"/>
      <name val="Arial"/>
      <family val="2"/>
    </font>
    <font>
      <i/>
      <sz val="9"/>
      <color theme="1"/>
      <name val="Arial"/>
      <family val="2"/>
    </font>
    <font>
      <sz val="9"/>
      <color theme="2" tint="-0.499984740745262"/>
      <name val="Arial"/>
      <family val="2"/>
    </font>
    <font>
      <sz val="8"/>
      <color theme="1"/>
      <name val="Arial"/>
      <family val="2"/>
    </font>
    <font>
      <sz val="10"/>
      <color rgb="FF0070C0"/>
      <name val="Calibri"/>
      <family val="2"/>
    </font>
    <font>
      <sz val="11"/>
      <color rgb="FF0070C0"/>
      <name val="Arial"/>
      <family val="2"/>
    </font>
    <font>
      <b/>
      <sz val="8"/>
      <color theme="1"/>
      <name val="Arial"/>
      <family val="2"/>
    </font>
    <font>
      <sz val="9"/>
      <color theme="4" tint="-0.249977111117893"/>
      <name val="Arial"/>
      <family val="2"/>
    </font>
    <font>
      <sz val="11"/>
      <color theme="4"/>
      <name val="Calibri"/>
      <family val="2"/>
    </font>
    <font>
      <sz val="10"/>
      <color rgb="FF0070C0"/>
      <name val="Arial"/>
      <family val="2"/>
    </font>
    <font>
      <sz val="10"/>
      <color rgb="FF242424"/>
      <name val="Segoe UI"/>
      <family val="2"/>
    </font>
    <font>
      <b/>
      <sz val="11"/>
      <color theme="1" tint="0.499984740745262"/>
      <name val="Arial"/>
      <family val="2"/>
    </font>
    <font>
      <sz val="11"/>
      <color rgb="FF0070C0"/>
      <name val="Segoe UI"/>
      <family val="2"/>
    </font>
    <font>
      <sz val="11"/>
      <name val="Segoe UI"/>
      <family val="2"/>
    </font>
    <font>
      <strike/>
      <sz val="9"/>
      <color rgb="FFFF0000"/>
      <name val="Arial"/>
      <family val="2"/>
    </font>
    <font>
      <i/>
      <strike/>
      <sz val="9"/>
      <color theme="1"/>
      <name val="Arial"/>
      <family val="2"/>
    </font>
    <font>
      <b/>
      <sz val="11"/>
      <color rgb="FF0070C0"/>
      <name val="Arial"/>
      <family val="2"/>
    </font>
    <font>
      <sz val="11"/>
      <color rgb="FF0070C0"/>
      <name val="Calibri"/>
      <family val="2"/>
    </font>
    <font>
      <b/>
      <sz val="9"/>
      <color theme="4" tint="-0.249977111117893"/>
      <name val="Arial"/>
      <family val="2"/>
    </font>
    <font>
      <b/>
      <i/>
      <sz val="9"/>
      <color rgb="FFFF0000"/>
      <name val="Arial"/>
      <family val="2"/>
    </font>
    <font>
      <sz val="10"/>
      <color rgb="FF3333FF"/>
      <name val="Calibri"/>
      <family val="2"/>
    </font>
    <font>
      <i/>
      <sz val="9"/>
      <color rgb="FF0070C0"/>
      <name val="Arial"/>
      <family val="2"/>
    </font>
    <font>
      <sz val="8"/>
      <color theme="1"/>
      <name val="Calibri"/>
      <family val="2"/>
    </font>
  </fonts>
  <fills count="18">
    <fill>
      <patternFill patternType="none"/>
    </fill>
    <fill>
      <patternFill patternType="gray125"/>
    </fill>
    <fill>
      <patternFill patternType="solid">
        <fgColor rgb="FF4472C4"/>
        <bgColor rgb="FF4472C4"/>
      </patternFill>
    </fill>
    <fill>
      <patternFill patternType="solid">
        <fgColor rgb="FFCCFFCC"/>
        <bgColor rgb="FFCCFFCC"/>
      </patternFill>
    </fill>
    <fill>
      <patternFill patternType="solid">
        <fgColor rgb="FFFFCCCC"/>
        <bgColor rgb="FFFFCCCC"/>
      </patternFill>
    </fill>
    <fill>
      <patternFill patternType="solid">
        <fgColor rgb="FFFFFF00"/>
        <bgColor rgb="FFFFFF00"/>
      </patternFill>
    </fill>
    <fill>
      <patternFill patternType="solid">
        <fgColor rgb="FFE7E6E6"/>
        <bgColor rgb="FFE7E6E6"/>
      </patternFill>
    </fill>
    <fill>
      <patternFill patternType="solid">
        <fgColor rgb="FFFFFFFF"/>
        <bgColor rgb="FFFFFFFF"/>
      </patternFill>
    </fill>
    <fill>
      <patternFill patternType="solid">
        <fgColor rgb="FF7030A0"/>
        <bgColor rgb="FF7030A0"/>
      </patternFill>
    </fill>
    <fill>
      <patternFill patternType="solid">
        <fgColor rgb="FFA5A5A5"/>
        <bgColor rgb="FFA5A5A5"/>
      </patternFill>
    </fill>
    <fill>
      <patternFill patternType="solid">
        <fgColor rgb="FFA9D18E"/>
        <bgColor rgb="FFA9D18E"/>
      </patternFill>
    </fill>
    <fill>
      <patternFill patternType="solid">
        <fgColor rgb="FF99FF66"/>
        <bgColor rgb="FF99FF66"/>
      </patternFill>
    </fill>
    <fill>
      <patternFill patternType="solid">
        <fgColor rgb="FF66FFFF"/>
        <bgColor rgb="FF66FFFF"/>
      </patternFill>
    </fill>
    <fill>
      <patternFill patternType="solid">
        <fgColor rgb="FFFFFF66"/>
        <bgColor rgb="FFFFFF66"/>
      </patternFill>
    </fill>
    <fill>
      <patternFill patternType="solid">
        <fgColor rgb="FFF2F2F2"/>
        <bgColor rgb="FFF2F2F2"/>
      </patternFill>
    </fill>
    <fill>
      <patternFill patternType="solid">
        <fgColor theme="9" tint="0.59999389629810485"/>
        <bgColor indexed="64"/>
      </patternFill>
    </fill>
    <fill>
      <patternFill patternType="solid">
        <fgColor theme="2" tint="-0.499984740745262"/>
        <bgColor indexed="64"/>
      </patternFill>
    </fill>
    <fill>
      <patternFill patternType="solid">
        <fgColor theme="9" tint="0.59999389629810485"/>
        <bgColor rgb="FFFFFFFF"/>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C9C9C9"/>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C9C9C9"/>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35">
    <xf numFmtId="0" fontId="0" fillId="0" borderId="0"/>
    <xf numFmtId="16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7" fontId="1" fillId="0" borderId="0"/>
    <xf numFmtId="167" fontId="3" fillId="0" borderId="0">
      <alignment horizontal="left" vertical="center"/>
    </xf>
    <xf numFmtId="0" fontId="4" fillId="0" borderId="0">
      <alignment horizontal="center"/>
    </xf>
    <xf numFmtId="0" fontId="4" fillId="0" borderId="0">
      <alignment horizontal="center" textRotation="90"/>
    </xf>
    <xf numFmtId="167" fontId="5" fillId="0" borderId="0"/>
    <xf numFmtId="167" fontId="6" fillId="0" borderId="0"/>
    <xf numFmtId="167" fontId="6" fillId="0" borderId="0"/>
    <xf numFmtId="167" fontId="7" fillId="0" borderId="0"/>
    <xf numFmtId="167" fontId="7" fillId="0" borderId="0"/>
    <xf numFmtId="167" fontId="7" fillId="0" borderId="0"/>
    <xf numFmtId="167" fontId="8" fillId="0" borderId="0"/>
    <xf numFmtId="177" fontId="1" fillId="0" borderId="0"/>
    <xf numFmtId="177" fontId="1" fillId="0" borderId="0"/>
    <xf numFmtId="177" fontId="1" fillId="0" borderId="0"/>
    <xf numFmtId="0" fontId="1" fillId="0" borderId="0">
      <alignment horizontal="left"/>
    </xf>
    <xf numFmtId="0" fontId="1" fillId="0" borderId="0"/>
    <xf numFmtId="0" fontId="1" fillId="0" borderId="0"/>
    <xf numFmtId="0" fontId="9" fillId="0" borderId="0"/>
    <xf numFmtId="0" fontId="9" fillId="0" borderId="0">
      <alignment horizontal="left"/>
    </xf>
    <xf numFmtId="0" fontId="1" fillId="0" borderId="0"/>
    <xf numFmtId="0" fontId="10" fillId="0" borderId="0"/>
    <xf numFmtId="178" fontId="10" fillId="0" borderId="0"/>
    <xf numFmtId="9" fontId="1" fillId="0" borderId="0" applyFont="0" applyFill="0" applyBorder="0" applyAlignment="0" applyProtection="0"/>
    <xf numFmtId="0" fontId="99" fillId="0" borderId="0" applyNumberFormat="0" applyFill="0" applyBorder="0" applyAlignment="0" applyProtection="0"/>
    <xf numFmtId="44" fontId="1" fillId="0" borderId="0" applyFont="0" applyFill="0" applyBorder="0" applyAlignment="0" applyProtection="0"/>
  </cellStyleXfs>
  <cellXfs count="653">
    <xf numFmtId="0" fontId="0" fillId="0" borderId="0" xfId="0"/>
    <xf numFmtId="0" fontId="11" fillId="2" borderId="1" xfId="0" applyFont="1" applyFill="1" applyBorder="1" applyAlignment="1">
      <alignment horizontal="center" vertical="center"/>
    </xf>
    <xf numFmtId="167" fontId="12" fillId="0" borderId="1" xfId="11" applyFont="1" applyBorder="1">
      <alignment horizontal="left" vertical="center"/>
    </xf>
    <xf numFmtId="168" fontId="13" fillId="0" borderId="1" xfId="9" applyFont="1" applyBorder="1" applyAlignment="1">
      <alignment vertical="center"/>
    </xf>
    <xf numFmtId="168" fontId="14" fillId="0" borderId="1" xfId="9" applyFont="1" applyBorder="1" applyAlignment="1">
      <alignment vertical="center"/>
    </xf>
    <xf numFmtId="168" fontId="14" fillId="0" borderId="0" xfId="9" applyFont="1" applyAlignment="1">
      <alignment vertical="center"/>
    </xf>
    <xf numFmtId="167" fontId="15" fillId="3" borderId="1" xfId="20" applyFont="1" applyFill="1" applyBorder="1" applyAlignment="1">
      <alignment horizontal="center" vertical="top"/>
    </xf>
    <xf numFmtId="0" fontId="0" fillId="0" borderId="2" xfId="0" applyBorder="1"/>
    <xf numFmtId="0" fontId="16" fillId="0" borderId="1" xfId="0" applyFont="1" applyBorder="1"/>
    <xf numFmtId="0" fontId="16" fillId="0" borderId="2" xfId="0" applyFont="1" applyBorder="1"/>
    <xf numFmtId="0" fontId="16" fillId="0" borderId="1" xfId="0" applyFont="1" applyBorder="1" applyAlignment="1">
      <alignment horizontal="left"/>
    </xf>
    <xf numFmtId="0" fontId="17" fillId="0" borderId="1" xfId="0" applyFont="1" applyBorder="1"/>
    <xf numFmtId="0" fontId="14" fillId="0" borderId="1" xfId="0" applyFont="1" applyBorder="1" applyAlignment="1">
      <alignment vertical="center"/>
    </xf>
    <xf numFmtId="16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vertical="center"/>
    </xf>
    <xf numFmtId="168" fontId="8" fillId="0" borderId="0" xfId="9" applyFont="1"/>
    <xf numFmtId="167" fontId="18" fillId="3" borderId="3" xfId="20" applyFont="1" applyFill="1" applyBorder="1" applyAlignment="1">
      <alignment horizontal="center" vertical="top"/>
    </xf>
    <xf numFmtId="167" fontId="18" fillId="0" borderId="3" xfId="20" applyFont="1" applyBorder="1" applyAlignment="1">
      <alignment horizontal="left" vertical="top"/>
    </xf>
    <xf numFmtId="168" fontId="18" fillId="0" borderId="3" xfId="20" applyNumberFormat="1" applyFont="1" applyBorder="1" applyAlignment="1">
      <alignment horizontal="center" vertical="top"/>
    </xf>
    <xf numFmtId="168" fontId="8" fillId="0" borderId="3" xfId="9" applyFont="1" applyBorder="1"/>
    <xf numFmtId="0" fontId="18" fillId="4" borderId="3" xfId="0" applyFont="1" applyFill="1" applyBorder="1" applyAlignment="1">
      <alignment horizontal="center" vertical="top"/>
    </xf>
    <xf numFmtId="0" fontId="18" fillId="0" borderId="3" xfId="0" applyFont="1" applyBorder="1" applyAlignment="1">
      <alignment vertical="top"/>
    </xf>
    <xf numFmtId="168" fontId="18" fillId="0" borderId="3" xfId="0" applyNumberFormat="1" applyFont="1" applyBorder="1" applyAlignment="1">
      <alignment horizontal="center" vertical="top"/>
    </xf>
    <xf numFmtId="0" fontId="18" fillId="0" borderId="3" xfId="0" applyFont="1" applyBorder="1" applyAlignment="1">
      <alignment horizontal="left" vertical="top"/>
    </xf>
    <xf numFmtId="168" fontId="18" fillId="0" borderId="3" xfId="0" applyNumberFormat="1" applyFont="1" applyBorder="1" applyAlignment="1">
      <alignment horizontal="left" vertical="top"/>
    </xf>
    <xf numFmtId="168" fontId="18" fillId="4" borderId="3" xfId="0" applyNumberFormat="1" applyFont="1" applyFill="1" applyBorder="1" applyAlignment="1">
      <alignment horizontal="center" vertical="top"/>
    </xf>
    <xf numFmtId="0" fontId="17" fillId="0" borderId="1" xfId="0" applyFont="1" applyBorder="1" applyAlignment="1">
      <alignment horizontal="center" vertical="center"/>
    </xf>
    <xf numFmtId="164" fontId="17" fillId="0" borderId="1" xfId="0" applyNumberFormat="1" applyFont="1" applyBorder="1" applyAlignment="1">
      <alignment horizontal="center"/>
    </xf>
    <xf numFmtId="0" fontId="17" fillId="0" borderId="1" xfId="0" applyFont="1" applyBorder="1" applyAlignment="1">
      <alignment horizontal="center"/>
    </xf>
    <xf numFmtId="168" fontId="17" fillId="0" borderId="1" xfId="9" applyFont="1" applyBorder="1"/>
    <xf numFmtId="168" fontId="17" fillId="0" borderId="0" xfId="9" applyFont="1"/>
    <xf numFmtId="168" fontId="8" fillId="0" borderId="0" xfId="9" applyFont="1" applyAlignment="1">
      <alignment horizontal="left"/>
    </xf>
    <xf numFmtId="167" fontId="18" fillId="3" borderId="1" xfId="20" applyFont="1" applyFill="1" applyBorder="1" applyAlignment="1">
      <alignment horizontal="center" vertical="top"/>
    </xf>
    <xf numFmtId="167" fontId="18" fillId="0" borderId="1" xfId="20" applyFont="1" applyBorder="1" applyAlignment="1">
      <alignment horizontal="left" vertical="top"/>
    </xf>
    <xf numFmtId="168" fontId="18" fillId="0" borderId="1" xfId="20" applyNumberFormat="1" applyFont="1" applyBorder="1" applyAlignment="1">
      <alignment horizontal="center" vertical="top"/>
    </xf>
    <xf numFmtId="168" fontId="8" fillId="0" borderId="1" xfId="9" applyFont="1" applyBorder="1"/>
    <xf numFmtId="0" fontId="18" fillId="4" borderId="1" xfId="0" applyFont="1" applyFill="1" applyBorder="1" applyAlignment="1">
      <alignment horizontal="center" vertical="top"/>
    </xf>
    <xf numFmtId="0" fontId="18" fillId="0" borderId="1" xfId="0" applyFont="1" applyBorder="1" applyAlignment="1">
      <alignment vertical="top"/>
    </xf>
    <xf numFmtId="168" fontId="18" fillId="0" borderId="1" xfId="0" applyNumberFormat="1" applyFont="1" applyBorder="1" applyAlignment="1">
      <alignment horizontal="center" vertical="top"/>
    </xf>
    <xf numFmtId="0" fontId="18" fillId="0" borderId="1" xfId="0" applyFont="1" applyBorder="1" applyAlignment="1">
      <alignment horizontal="left" vertical="top"/>
    </xf>
    <xf numFmtId="168" fontId="18" fillId="0" borderId="1" xfId="0" applyNumberFormat="1" applyFont="1" applyBorder="1" applyAlignment="1">
      <alignment horizontal="left" vertical="top"/>
    </xf>
    <xf numFmtId="168" fontId="18" fillId="4" borderId="1" xfId="0" applyNumberFormat="1" applyFont="1" applyFill="1" applyBorder="1" applyAlignment="1">
      <alignment horizontal="center" vertical="top"/>
    </xf>
    <xf numFmtId="168" fontId="8" fillId="0" borderId="0" xfId="9" applyFont="1" applyAlignment="1">
      <alignment horizontal="left" indent="1"/>
    </xf>
    <xf numFmtId="0" fontId="0" fillId="0" borderId="1" xfId="0" applyBorder="1"/>
    <xf numFmtId="0" fontId="14" fillId="0" borderId="1" xfId="0" applyFont="1" applyBorder="1"/>
    <xf numFmtId="168" fontId="17" fillId="0" borderId="1" xfId="9" applyFont="1" applyBorder="1" applyAlignment="1">
      <alignment horizontal="center"/>
    </xf>
    <xf numFmtId="164" fontId="17" fillId="0" borderId="1" xfId="0" applyNumberFormat="1" applyFont="1" applyBorder="1" applyAlignment="1">
      <alignment horizontal="center" vertical="center"/>
    </xf>
    <xf numFmtId="0" fontId="19" fillId="0" borderId="1" xfId="0" applyFont="1" applyBorder="1"/>
    <xf numFmtId="168" fontId="0" fillId="0" borderId="1" xfId="0" applyNumberFormat="1" applyBorder="1"/>
    <xf numFmtId="0" fontId="0" fillId="0" borderId="0" xfId="0" applyAlignment="1">
      <alignment horizontal="left"/>
    </xf>
    <xf numFmtId="168" fontId="18" fillId="0" borderId="1" xfId="0" applyNumberFormat="1" applyFont="1" applyBorder="1" applyAlignment="1">
      <alignment vertical="top"/>
    </xf>
    <xf numFmtId="164" fontId="17" fillId="0" borderId="1" xfId="0" applyNumberFormat="1" applyFont="1" applyBorder="1"/>
    <xf numFmtId="168" fontId="20" fillId="0" borderId="1" xfId="9" applyFont="1" applyBorder="1"/>
    <xf numFmtId="168" fontId="0" fillId="0" borderId="0" xfId="0" applyNumberFormat="1"/>
    <xf numFmtId="168" fontId="14" fillId="0" borderId="1" xfId="9" applyFont="1" applyBorder="1" applyAlignment="1">
      <alignment horizontal="center" vertical="center"/>
    </xf>
    <xf numFmtId="0" fontId="17" fillId="0" borderId="1" xfId="0" applyFont="1" applyBorder="1" applyAlignment="1">
      <alignment horizontal="left"/>
    </xf>
    <xf numFmtId="0" fontId="17" fillId="5" borderId="1" xfId="0" applyFont="1" applyFill="1" applyBorder="1" applyAlignment="1">
      <alignment vertical="center"/>
    </xf>
    <xf numFmtId="168" fontId="14" fillId="0" borderId="0" xfId="9" applyFont="1"/>
    <xf numFmtId="168" fontId="14" fillId="0" borderId="1" xfId="9" applyFont="1" applyBorder="1"/>
    <xf numFmtId="0" fontId="17" fillId="0" borderId="0" xfId="0" applyFont="1"/>
    <xf numFmtId="164" fontId="17" fillId="0" borderId="0" xfId="0" applyNumberFormat="1" applyFont="1" applyAlignment="1">
      <alignment horizontal="center"/>
    </xf>
    <xf numFmtId="0" fontId="0" fillId="0" borderId="0" xfId="0" applyAlignment="1">
      <alignment horizontal="center"/>
    </xf>
    <xf numFmtId="0" fontId="21" fillId="0" borderId="0" xfId="0" applyFont="1" applyAlignment="1">
      <alignment horizontal="center"/>
    </xf>
    <xf numFmtId="0" fontId="9" fillId="0" borderId="1" xfId="0" applyFont="1" applyBorder="1"/>
    <xf numFmtId="168" fontId="22" fillId="0" borderId="1" xfId="0" applyNumberFormat="1" applyFont="1" applyBorder="1"/>
    <xf numFmtId="168" fontId="23" fillId="0" borderId="0" xfId="0" applyNumberFormat="1" applyFont="1"/>
    <xf numFmtId="168" fontId="24" fillId="6" borderId="1" xfId="0" applyNumberFormat="1" applyFont="1" applyFill="1" applyBorder="1"/>
    <xf numFmtId="168" fontId="0" fillId="0" borderId="0" xfId="0" applyNumberFormat="1" applyAlignment="1">
      <alignment horizontal="center"/>
    </xf>
    <xf numFmtId="0" fontId="22" fillId="0" borderId="1" xfId="0" applyFont="1" applyBorder="1" applyAlignment="1">
      <alignment horizontal="right"/>
    </xf>
    <xf numFmtId="168" fontId="24" fillId="0" borderId="1" xfId="0" applyNumberFormat="1" applyFont="1" applyBorder="1"/>
    <xf numFmtId="168" fontId="9" fillId="0" borderId="0" xfId="0" applyNumberFormat="1" applyFont="1"/>
    <xf numFmtId="0" fontId="22" fillId="0" borderId="1" xfId="0" applyFont="1" applyBorder="1"/>
    <xf numFmtId="0" fontId="6" fillId="0" borderId="1" xfId="0" applyFont="1" applyBorder="1"/>
    <xf numFmtId="0" fontId="18" fillId="7" borderId="1" xfId="0" applyFont="1" applyFill="1" applyBorder="1"/>
    <xf numFmtId="168" fontId="15" fillId="7" borderId="1" xfId="9" applyFont="1" applyFill="1" applyBorder="1" applyAlignment="1">
      <alignment horizontal="right" vertical="center" wrapText="1"/>
    </xf>
    <xf numFmtId="168" fontId="15" fillId="7" borderId="1" xfId="9" applyFont="1" applyFill="1" applyBorder="1" applyAlignment="1">
      <alignment horizontal="center" vertical="center" wrapText="1"/>
    </xf>
    <xf numFmtId="165" fontId="25" fillId="7" borderId="1" xfId="9" applyNumberFormat="1" applyFont="1" applyFill="1" applyBorder="1" applyAlignment="1">
      <alignment horizontal="center" vertical="center" wrapText="1"/>
    </xf>
    <xf numFmtId="168" fontId="15" fillId="7" borderId="1" xfId="9" applyFont="1" applyFill="1" applyBorder="1" applyAlignment="1">
      <alignment horizontal="left" vertical="center" wrapText="1"/>
    </xf>
    <xf numFmtId="168" fontId="25" fillId="7" borderId="1" xfId="9" applyFont="1" applyFill="1" applyBorder="1" applyAlignment="1">
      <alignment horizontal="center" vertical="center" wrapText="1"/>
    </xf>
    <xf numFmtId="0" fontId="15" fillId="7" borderId="1" xfId="0" applyFont="1" applyFill="1" applyBorder="1" applyAlignment="1">
      <alignment horizontal="center" vertical="center" wrapText="1"/>
    </xf>
    <xf numFmtId="0" fontId="18" fillId="7" borderId="0" xfId="0" applyFont="1" applyFill="1"/>
    <xf numFmtId="0" fontId="18" fillId="7" borderId="0" xfId="0" applyFont="1" applyFill="1" applyAlignment="1">
      <alignment wrapText="1"/>
    </xf>
    <xf numFmtId="0" fontId="18" fillId="0" borderId="0" xfId="0" applyFont="1"/>
    <xf numFmtId="166" fontId="18" fillId="7" borderId="0" xfId="10" applyNumberFormat="1" applyFont="1" applyFill="1"/>
    <xf numFmtId="0" fontId="15" fillId="7" borderId="1" xfId="0" applyFont="1" applyFill="1" applyBorder="1" applyAlignment="1">
      <alignment horizontal="left" vertical="center" wrapText="1"/>
    </xf>
    <xf numFmtId="167" fontId="15" fillId="7" borderId="1" xfId="9" applyNumberFormat="1" applyFont="1" applyFill="1" applyBorder="1" applyAlignment="1">
      <alignment horizontal="center" vertical="center" wrapText="1"/>
    </xf>
    <xf numFmtId="165" fontId="27" fillId="7" borderId="1" xfId="9" applyNumberFormat="1" applyFont="1" applyFill="1" applyBorder="1" applyAlignment="1">
      <alignment horizontal="center" vertical="center" wrapText="1"/>
    </xf>
    <xf numFmtId="0" fontId="18" fillId="0" borderId="0" xfId="0" applyFont="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horizontal="left" vertical="center" wrapText="1"/>
    </xf>
    <xf numFmtId="167" fontId="18" fillId="7" borderId="1" xfId="9" applyNumberFormat="1" applyFont="1" applyFill="1" applyBorder="1" applyAlignment="1">
      <alignment horizontal="center" vertical="center"/>
    </xf>
    <xf numFmtId="168" fontId="18" fillId="7" borderId="1" xfId="9" applyFont="1" applyFill="1" applyBorder="1" applyAlignment="1">
      <alignment horizontal="center" vertical="center"/>
    </xf>
    <xf numFmtId="168" fontId="18" fillId="7" borderId="1" xfId="9" applyFont="1" applyFill="1" applyBorder="1" applyAlignment="1">
      <alignment horizontal="left" vertical="center"/>
    </xf>
    <xf numFmtId="168" fontId="18" fillId="7" borderId="1" xfId="9" applyFont="1" applyFill="1" applyBorder="1" applyAlignment="1">
      <alignment vertical="center"/>
    </xf>
    <xf numFmtId="0" fontId="18" fillId="7" borderId="1" xfId="0" applyFont="1" applyFill="1" applyBorder="1" applyAlignment="1">
      <alignment horizontal="center" vertical="center" wrapText="1"/>
    </xf>
    <xf numFmtId="168" fontId="18" fillId="7" borderId="0" xfId="9" applyFont="1" applyFill="1"/>
    <xf numFmtId="168" fontId="18" fillId="7" borderId="1" xfId="9" applyFont="1" applyFill="1" applyBorder="1" applyAlignment="1">
      <alignment vertical="center" wrapText="1"/>
    </xf>
    <xf numFmtId="0" fontId="18" fillId="7" borderId="1" xfId="0" applyFont="1" applyFill="1" applyBorder="1" applyAlignment="1">
      <alignment vertical="center"/>
    </xf>
    <xf numFmtId="168" fontId="18" fillId="7" borderId="1" xfId="9" applyFont="1" applyFill="1" applyBorder="1" applyAlignment="1">
      <alignment horizontal="right" vertical="center"/>
    </xf>
    <xf numFmtId="0" fontId="18" fillId="7" borderId="1" xfId="0" applyFont="1" applyFill="1" applyBorder="1" applyAlignment="1">
      <alignment horizontal="left" vertical="center"/>
    </xf>
    <xf numFmtId="168" fontId="30" fillId="7" borderId="1" xfId="9" applyFont="1" applyFill="1" applyBorder="1" applyAlignment="1">
      <alignment horizontal="left" vertical="center"/>
    </xf>
    <xf numFmtId="0" fontId="32" fillId="7" borderId="1" xfId="0" applyFont="1" applyFill="1" applyBorder="1" applyAlignment="1">
      <alignment vertical="center" wrapText="1"/>
    </xf>
    <xf numFmtId="0" fontId="33" fillId="7" borderId="1" xfId="0" applyFont="1" applyFill="1" applyBorder="1" applyAlignment="1">
      <alignment horizontal="left" vertical="center" wrapText="1"/>
    </xf>
    <xf numFmtId="168" fontId="15" fillId="7" borderId="1" xfId="9" applyFont="1" applyFill="1" applyBorder="1" applyAlignment="1">
      <alignment horizontal="right" vertical="center"/>
    </xf>
    <xf numFmtId="0" fontId="33" fillId="7" borderId="1" xfId="0" applyFont="1" applyFill="1" applyBorder="1" applyAlignment="1">
      <alignment horizontal="left" vertical="center"/>
    </xf>
    <xf numFmtId="0" fontId="34" fillId="7" borderId="1" xfId="0" applyFont="1" applyFill="1" applyBorder="1" applyAlignment="1">
      <alignment horizontal="center" vertical="center" wrapText="1"/>
    </xf>
    <xf numFmtId="168" fontId="18" fillId="7" borderId="0" xfId="9" applyFont="1" applyFill="1" applyAlignment="1">
      <alignment horizontal="center" vertical="center"/>
    </xf>
    <xf numFmtId="168" fontId="18" fillId="7" borderId="1" xfId="9" applyFont="1" applyFill="1" applyBorder="1" applyAlignment="1">
      <alignment horizontal="left" vertical="center" wrapText="1"/>
    </xf>
    <xf numFmtId="168" fontId="18" fillId="7" borderId="1" xfId="9" applyFont="1" applyFill="1" applyBorder="1" applyAlignment="1">
      <alignment horizontal="center" vertical="center" wrapText="1"/>
    </xf>
    <xf numFmtId="168" fontId="18" fillId="7" borderId="0" xfId="9" applyFont="1" applyFill="1" applyAlignment="1">
      <alignment wrapText="1"/>
    </xf>
    <xf numFmtId="168" fontId="18" fillId="0" borderId="0" xfId="9" applyFont="1"/>
    <xf numFmtId="168" fontId="18" fillId="0" borderId="0" xfId="9" applyFont="1" applyAlignment="1">
      <alignment horizontal="left" vertical="top"/>
    </xf>
    <xf numFmtId="0" fontId="30"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wrapText="1"/>
    </xf>
    <xf numFmtId="0" fontId="18" fillId="0" borderId="1" xfId="0" applyFont="1" applyBorder="1"/>
    <xf numFmtId="0" fontId="30" fillId="0" borderId="1" xfId="0" applyFont="1" applyBorder="1" applyAlignment="1">
      <alignment wrapText="1"/>
    </xf>
    <xf numFmtId="0" fontId="18" fillId="0" borderId="1" xfId="0" applyFont="1" applyBorder="1" applyAlignment="1">
      <alignment horizontal="center"/>
    </xf>
    <xf numFmtId="165" fontId="28" fillId="0" borderId="1" xfId="0" applyNumberFormat="1" applyFont="1" applyBorder="1" applyAlignment="1">
      <alignment horizontal="center"/>
    </xf>
    <xf numFmtId="0" fontId="18" fillId="0" borderId="1" xfId="0" applyFont="1" applyBorder="1" applyAlignment="1">
      <alignment horizontal="left" wrapText="1"/>
    </xf>
    <xf numFmtId="168" fontId="18" fillId="0" borderId="1" xfId="9" applyFont="1" applyBorder="1" applyAlignment="1">
      <alignment horizontal="left"/>
    </xf>
    <xf numFmtId="0" fontId="18" fillId="0" borderId="1" xfId="0" applyFont="1" applyBorder="1" applyAlignment="1">
      <alignment horizontal="left"/>
    </xf>
    <xf numFmtId="0" fontId="18" fillId="0" borderId="1" xfId="0" applyFont="1" applyBorder="1" applyAlignment="1">
      <alignment horizontal="center" vertical="center" wrapText="1"/>
    </xf>
    <xf numFmtId="0" fontId="0" fillId="0" borderId="0" xfId="0" applyAlignment="1">
      <alignment wrapText="1"/>
    </xf>
    <xf numFmtId="165" fontId="35" fillId="0" borderId="0" xfId="0" applyNumberFormat="1" applyFont="1" applyAlignment="1">
      <alignment horizontal="center"/>
    </xf>
    <xf numFmtId="0" fontId="0" fillId="0" borderId="0" xfId="0" applyAlignment="1">
      <alignment vertical="center" wrapText="1"/>
    </xf>
    <xf numFmtId="3" fontId="36" fillId="0" borderId="0" xfId="0" applyNumberFormat="1" applyFont="1" applyAlignment="1">
      <alignment horizontal="center"/>
    </xf>
    <xf numFmtId="165" fontId="36" fillId="0" borderId="0" xfId="0" applyNumberFormat="1" applyFont="1" applyAlignment="1">
      <alignment horizontal="center"/>
    </xf>
    <xf numFmtId="4" fontId="37" fillId="0" borderId="0" xfId="0" applyNumberFormat="1" applyFont="1" applyAlignment="1">
      <alignment horizontal="center"/>
    </xf>
    <xf numFmtId="3" fontId="35" fillId="0" borderId="0" xfId="0" applyNumberFormat="1" applyFont="1" applyAlignment="1">
      <alignment horizontal="center"/>
    </xf>
    <xf numFmtId="4" fontId="30" fillId="7" borderId="0" xfId="9" applyNumberFormat="1" applyFont="1" applyFill="1" applyAlignment="1">
      <alignment horizontal="center" vertical="center"/>
    </xf>
    <xf numFmtId="4" fontId="35" fillId="0" borderId="0" xfId="0" applyNumberFormat="1" applyFont="1" applyAlignment="1">
      <alignment horizontal="center"/>
    </xf>
    <xf numFmtId="4" fontId="28" fillId="7" borderId="0" xfId="9" applyNumberFormat="1" applyFont="1" applyFill="1" applyAlignment="1">
      <alignment horizontal="center" vertical="center"/>
    </xf>
    <xf numFmtId="165" fontId="38" fillId="7" borderId="1" xfId="9" applyNumberFormat="1" applyFont="1" applyFill="1" applyBorder="1" applyAlignment="1">
      <alignment horizontal="center" vertical="center" wrapText="1"/>
    </xf>
    <xf numFmtId="168" fontId="40" fillId="7" borderId="1" xfId="9" applyFont="1" applyFill="1" applyBorder="1" applyAlignment="1">
      <alignment horizontal="left" vertical="center" wrapText="1"/>
    </xf>
    <xf numFmtId="168" fontId="40" fillId="7" borderId="1" xfId="9" applyFont="1" applyFill="1" applyBorder="1" applyAlignment="1">
      <alignment horizontal="left" vertical="center"/>
    </xf>
    <xf numFmtId="0" fontId="41" fillId="7" borderId="1" xfId="0" applyFont="1" applyFill="1" applyBorder="1" applyAlignment="1">
      <alignment horizontal="center" vertical="center" wrapText="1"/>
    </xf>
    <xf numFmtId="165" fontId="15" fillId="7" borderId="1" xfId="9" applyNumberFormat="1" applyFont="1" applyFill="1" applyBorder="1" applyAlignment="1">
      <alignment horizontal="center" vertical="center" wrapText="1"/>
    </xf>
    <xf numFmtId="0" fontId="18" fillId="7" borderId="1" xfId="0" applyFont="1" applyFill="1" applyBorder="1" applyAlignment="1">
      <alignment vertical="center" wrapText="1"/>
    </xf>
    <xf numFmtId="169" fontId="18" fillId="7" borderId="1" xfId="9" applyNumberFormat="1" applyFont="1" applyFill="1" applyBorder="1" applyAlignment="1">
      <alignment vertical="center" wrapText="1"/>
    </xf>
    <xf numFmtId="0" fontId="28" fillId="7" borderId="1" xfId="0" applyFont="1" applyFill="1" applyBorder="1" applyAlignment="1">
      <alignment horizontal="left" vertical="center" wrapText="1"/>
    </xf>
    <xf numFmtId="169" fontId="15" fillId="7" borderId="1" xfId="9" applyNumberFormat="1" applyFont="1" applyFill="1" applyBorder="1" applyAlignment="1">
      <alignment horizontal="left" vertical="center"/>
    </xf>
    <xf numFmtId="179" fontId="18" fillId="7" borderId="1" xfId="9" applyNumberFormat="1" applyFont="1" applyFill="1" applyBorder="1" applyAlignment="1">
      <alignment horizontal="left" vertical="center" wrapText="1"/>
    </xf>
    <xf numFmtId="169" fontId="18" fillId="7" borderId="1" xfId="9" applyNumberFormat="1" applyFont="1" applyFill="1" applyBorder="1" applyAlignment="1">
      <alignment horizontal="left" vertical="center" wrapText="1"/>
    </xf>
    <xf numFmtId="179" fontId="18" fillId="7" borderId="5" xfId="9" applyNumberFormat="1" applyFont="1" applyFill="1" applyBorder="1" applyAlignment="1">
      <alignment horizontal="left" vertical="center" wrapText="1"/>
    </xf>
    <xf numFmtId="169" fontId="18" fillId="7" borderId="6" xfId="9" applyNumberFormat="1" applyFont="1" applyFill="1" applyBorder="1" applyAlignment="1">
      <alignment horizontal="left" vertical="center" wrapText="1"/>
    </xf>
    <xf numFmtId="0" fontId="43" fillId="7" borderId="0" xfId="0" applyFont="1" applyFill="1"/>
    <xf numFmtId="0" fontId="43" fillId="0" borderId="0" xfId="0" applyFont="1"/>
    <xf numFmtId="0" fontId="44" fillId="0" borderId="0" xfId="0" applyFont="1"/>
    <xf numFmtId="168" fontId="43" fillId="0" borderId="0" xfId="9" applyFont="1" applyAlignment="1">
      <alignment horizontal="left" vertical="top"/>
    </xf>
    <xf numFmtId="0" fontId="15" fillId="7" borderId="1" xfId="0" applyFont="1" applyFill="1" applyBorder="1" applyAlignment="1">
      <alignment horizontal="center" vertical="center"/>
    </xf>
    <xf numFmtId="165" fontId="38" fillId="9" borderId="1" xfId="9" applyNumberFormat="1" applyFont="1" applyFill="1" applyBorder="1" applyAlignment="1">
      <alignment horizontal="center" vertical="center"/>
    </xf>
    <xf numFmtId="179" fontId="38" fillId="9" borderId="1" xfId="9" applyNumberFormat="1" applyFont="1" applyFill="1" applyBorder="1" applyAlignment="1">
      <alignment horizontal="left" vertical="center" wrapText="1"/>
    </xf>
    <xf numFmtId="169" fontId="33" fillId="7" borderId="1" xfId="9" applyNumberFormat="1" applyFont="1" applyFill="1" applyBorder="1" applyAlignment="1">
      <alignment horizontal="left" vertical="center"/>
    </xf>
    <xf numFmtId="165" fontId="42" fillId="0" borderId="1" xfId="0" applyNumberFormat="1" applyFont="1" applyBorder="1" applyAlignment="1">
      <alignment horizontal="center" vertical="center"/>
    </xf>
    <xf numFmtId="0" fontId="18" fillId="0" borderId="1" xfId="0" applyFont="1" applyBorder="1" applyAlignment="1">
      <alignment horizontal="center" wrapText="1"/>
    </xf>
    <xf numFmtId="165" fontId="45" fillId="0" borderId="0" xfId="0" applyNumberFormat="1" applyFont="1" applyAlignment="1">
      <alignment horizontal="center" vertical="center"/>
    </xf>
    <xf numFmtId="0" fontId="0" fillId="0" borderId="0" xfId="0" applyAlignment="1">
      <alignment horizontal="center" wrapText="1"/>
    </xf>
    <xf numFmtId="168" fontId="15" fillId="0" borderId="1" xfId="9" applyFont="1" applyBorder="1" applyAlignment="1">
      <alignment horizontal="right" vertical="center" wrapText="1"/>
    </xf>
    <xf numFmtId="165" fontId="38" fillId="0" borderId="1" xfId="9" applyNumberFormat="1" applyFont="1" applyBorder="1" applyAlignment="1">
      <alignment horizontal="center" vertical="center" wrapText="1"/>
    </xf>
    <xf numFmtId="168" fontId="15" fillId="0" borderId="1" xfId="9" applyFont="1" applyBorder="1" applyAlignment="1">
      <alignment horizontal="left" vertical="center" wrapText="1"/>
    </xf>
    <xf numFmtId="0" fontId="15" fillId="0" borderId="1" xfId="0" applyFont="1" applyBorder="1" applyAlignment="1">
      <alignment horizontal="center" vertical="center" wrapText="1"/>
    </xf>
    <xf numFmtId="165" fontId="45" fillId="8" borderId="6" xfId="0" applyNumberFormat="1" applyFont="1" applyFill="1" applyBorder="1" applyAlignment="1">
      <alignment horizontal="center"/>
    </xf>
    <xf numFmtId="0" fontId="41" fillId="8" borderId="1" xfId="0" applyFont="1" applyFill="1" applyBorder="1" applyAlignment="1">
      <alignment horizontal="center" vertical="center" wrapText="1"/>
    </xf>
    <xf numFmtId="166" fontId="18" fillId="0" borderId="0" xfId="10" applyNumberFormat="1" applyFont="1"/>
    <xf numFmtId="0" fontId="15" fillId="10" borderId="1" xfId="0" applyFont="1" applyFill="1" applyBorder="1" applyAlignment="1">
      <alignment horizontal="center" vertical="center" wrapText="1"/>
    </xf>
    <xf numFmtId="165" fontId="15" fillId="10" borderId="1" xfId="9" applyNumberFormat="1" applyFont="1" applyFill="1" applyBorder="1" applyAlignment="1">
      <alignment horizontal="center" vertical="center" wrapText="1"/>
    </xf>
    <xf numFmtId="168" fontId="15" fillId="10" borderId="1" xfId="9" applyFont="1" applyFill="1" applyBorder="1" applyAlignment="1">
      <alignment horizontal="left" vertical="center" wrapText="1"/>
    </xf>
    <xf numFmtId="165" fontId="42" fillId="0" borderId="1" xfId="9" applyNumberFormat="1" applyFont="1" applyBorder="1" applyAlignment="1">
      <alignment horizontal="center" vertical="center"/>
    </xf>
    <xf numFmtId="0" fontId="1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8" fillId="4" borderId="1" xfId="0" applyFont="1" applyFill="1" applyBorder="1" applyAlignment="1">
      <alignment horizontal="center" vertical="center"/>
    </xf>
    <xf numFmtId="165" fontId="18" fillId="0" borderId="1" xfId="9" applyNumberFormat="1" applyFont="1" applyBorder="1" applyAlignment="1">
      <alignment horizontal="center" vertical="center"/>
    </xf>
    <xf numFmtId="168" fontId="18" fillId="0" borderId="1" xfId="0" applyNumberFormat="1" applyFont="1" applyBorder="1" applyAlignment="1">
      <alignment horizontal="left" vertical="center" wrapText="1"/>
    </xf>
    <xf numFmtId="168" fontId="18" fillId="0" borderId="1" xfId="9" applyFont="1" applyBorder="1" applyAlignment="1">
      <alignment horizontal="center" vertical="center"/>
    </xf>
    <xf numFmtId="169" fontId="18" fillId="0" borderId="1" xfId="9" applyNumberFormat="1" applyFont="1" applyBorder="1" applyAlignment="1">
      <alignment horizontal="center" vertical="center"/>
    </xf>
    <xf numFmtId="0" fontId="18" fillId="0" borderId="1" xfId="0" applyFont="1" applyBorder="1" applyAlignment="1">
      <alignment vertical="center" wrapText="1"/>
    </xf>
    <xf numFmtId="167" fontId="18" fillId="0" borderId="1" xfId="9" applyNumberFormat="1" applyFont="1" applyBorder="1" applyAlignment="1">
      <alignment horizontal="left" vertical="center" wrapText="1"/>
    </xf>
    <xf numFmtId="0" fontId="15" fillId="0" borderId="1" xfId="0" applyFont="1" applyBorder="1" applyAlignment="1">
      <alignment horizontal="left" vertical="center" wrapText="1"/>
    </xf>
    <xf numFmtId="167" fontId="47" fillId="9" borderId="1" xfId="9" applyNumberFormat="1" applyFont="1" applyFill="1" applyBorder="1" applyAlignment="1">
      <alignment horizontal="left" vertical="center" wrapText="1"/>
    </xf>
    <xf numFmtId="169" fontId="46" fillId="0" borderId="1" xfId="9" applyNumberFormat="1" applyFont="1" applyBorder="1" applyAlignment="1">
      <alignment horizontal="left" vertical="center" wrapText="1"/>
    </xf>
    <xf numFmtId="168" fontId="18" fillId="4" borderId="1" xfId="9" applyFont="1" applyFill="1" applyBorder="1" applyAlignment="1">
      <alignment horizontal="center" vertical="top"/>
    </xf>
    <xf numFmtId="168" fontId="18" fillId="0" borderId="1" xfId="9" applyFont="1" applyBorder="1" applyAlignment="1">
      <alignment vertical="top" wrapText="1"/>
    </xf>
    <xf numFmtId="165" fontId="42" fillId="0" borderId="1" xfId="9" applyNumberFormat="1" applyFont="1" applyBorder="1" applyAlignment="1">
      <alignment horizontal="center" vertical="top"/>
    </xf>
    <xf numFmtId="168" fontId="18" fillId="0" borderId="1" xfId="9" applyFont="1" applyBorder="1" applyAlignment="1">
      <alignment horizontal="left" vertical="top" wrapText="1"/>
    </xf>
    <xf numFmtId="168" fontId="18" fillId="0" borderId="1" xfId="9" applyFont="1" applyBorder="1" applyAlignment="1">
      <alignment horizontal="center" vertical="center" wrapText="1"/>
    </xf>
    <xf numFmtId="168" fontId="18" fillId="0" borderId="0" xfId="9" applyFont="1" applyAlignment="1">
      <alignment wrapText="1"/>
    </xf>
    <xf numFmtId="165" fontId="42" fillId="7" borderId="1" xfId="9" applyNumberFormat="1" applyFont="1" applyFill="1" applyBorder="1" applyAlignment="1">
      <alignment horizontal="center" vertical="top"/>
    </xf>
    <xf numFmtId="0" fontId="30" fillId="0" borderId="0" xfId="0" applyFont="1" applyAlignment="1">
      <alignment wrapText="1"/>
    </xf>
    <xf numFmtId="165" fontId="42" fillId="0" borderId="0" xfId="0" applyNumberFormat="1" applyFont="1" applyAlignment="1">
      <alignment horizontal="center"/>
    </xf>
    <xf numFmtId="0" fontId="18" fillId="0" borderId="0" xfId="0" applyFont="1" applyAlignment="1">
      <alignment horizontal="left" wrapText="1"/>
    </xf>
    <xf numFmtId="165" fontId="45" fillId="0" borderId="0" xfId="0" applyNumberFormat="1" applyFont="1" applyAlignment="1">
      <alignment horizontal="center"/>
    </xf>
    <xf numFmtId="0" fontId="50" fillId="8" borderId="0" xfId="0" applyFont="1" applyFill="1"/>
    <xf numFmtId="168" fontId="44" fillId="0" borderId="0" xfId="9" applyFont="1"/>
    <xf numFmtId="168" fontId="15" fillId="10" borderId="1" xfId="9" applyFont="1" applyFill="1" applyBorder="1" applyAlignment="1">
      <alignment horizontal="center" vertical="center" wrapText="1"/>
    </xf>
    <xf numFmtId="0" fontId="43" fillId="0" borderId="0" xfId="0" applyFont="1" applyAlignment="1">
      <alignment horizontal="center"/>
    </xf>
    <xf numFmtId="0" fontId="43" fillId="0" borderId="0" xfId="0" applyFont="1" applyAlignment="1">
      <alignment horizontal="center" wrapText="1"/>
    </xf>
    <xf numFmtId="168" fontId="43" fillId="0" borderId="0" xfId="9" applyFont="1" applyAlignment="1">
      <alignment horizontal="center"/>
    </xf>
    <xf numFmtId="0" fontId="44" fillId="0" borderId="0" xfId="0" applyFont="1" applyAlignment="1">
      <alignment horizontal="center"/>
    </xf>
    <xf numFmtId="168" fontId="44" fillId="0" borderId="0" xfId="9" applyFont="1" applyAlignment="1">
      <alignment horizontal="center"/>
    </xf>
    <xf numFmtId="168" fontId="42" fillId="0" borderId="1" xfId="9" applyFont="1" applyBorder="1" applyAlignment="1">
      <alignment horizontal="center" vertical="center"/>
    </xf>
    <xf numFmtId="169" fontId="42" fillId="0" borderId="1" xfId="9" applyNumberFormat="1" applyFont="1" applyBorder="1" applyAlignment="1">
      <alignment horizontal="center" vertical="center"/>
    </xf>
    <xf numFmtId="0" fontId="43" fillId="0" borderId="0" xfId="0" applyFont="1" applyAlignment="1">
      <alignment wrapText="1"/>
    </xf>
    <xf numFmtId="168" fontId="43" fillId="0" borderId="0" xfId="9" applyFont="1"/>
    <xf numFmtId="168" fontId="18" fillId="4" borderId="1" xfId="9" applyFont="1" applyFill="1" applyBorder="1" applyAlignment="1">
      <alignment horizontal="center" vertical="center"/>
    </xf>
    <xf numFmtId="165" fontId="18" fillId="9" borderId="1" xfId="9" applyNumberFormat="1" applyFont="1" applyFill="1" applyBorder="1" applyAlignment="1">
      <alignment horizontal="center" vertical="center"/>
    </xf>
    <xf numFmtId="168" fontId="15" fillId="9" borderId="1" xfId="9" applyFont="1" applyFill="1" applyBorder="1" applyAlignment="1">
      <alignment horizontal="left" vertical="center" wrapText="1"/>
    </xf>
    <xf numFmtId="169" fontId="43" fillId="0" borderId="1" xfId="9" applyNumberFormat="1" applyFont="1" applyBorder="1"/>
    <xf numFmtId="168" fontId="43" fillId="0" borderId="1" xfId="9" applyFont="1" applyBorder="1"/>
    <xf numFmtId="0" fontId="43" fillId="0" borderId="0" xfId="0" applyFont="1" applyAlignment="1">
      <alignment vertical="center"/>
    </xf>
    <xf numFmtId="165" fontId="51" fillId="0" borderId="0" xfId="0" applyNumberFormat="1" applyFont="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center" vertical="center" wrapText="1"/>
    </xf>
    <xf numFmtId="0" fontId="52" fillId="0" borderId="0" xfId="0" applyFont="1"/>
    <xf numFmtId="0" fontId="44" fillId="0" borderId="0" xfId="0" applyFont="1" applyAlignment="1">
      <alignment wrapText="1"/>
    </xf>
    <xf numFmtId="165" fontId="53" fillId="0" borderId="0" xfId="0" applyNumberFormat="1" applyFont="1" applyAlignment="1">
      <alignment horizontal="center"/>
    </xf>
    <xf numFmtId="0" fontId="54" fillId="0" borderId="0" xfId="0" applyFont="1"/>
    <xf numFmtId="0" fontId="0" fillId="0" borderId="0" xfId="0" applyAlignment="1">
      <alignment vertical="center"/>
    </xf>
    <xf numFmtId="165" fontId="57" fillId="0" borderId="1" xfId="0" applyNumberFormat="1" applyFont="1" applyBorder="1" applyAlignment="1">
      <alignment horizontal="center" vertical="center"/>
    </xf>
    <xf numFmtId="0" fontId="58" fillId="0" borderId="1" xfId="0" applyFont="1" applyBorder="1" applyAlignment="1">
      <alignment horizontal="left" vertical="center" wrapText="1"/>
    </xf>
    <xf numFmtId="168" fontId="59" fillId="0" borderId="1" xfId="9" applyFont="1" applyBorder="1" applyAlignment="1">
      <alignment horizontal="center" vertical="center" wrapText="1"/>
    </xf>
    <xf numFmtId="168" fontId="60" fillId="4" borderId="1" xfId="9" applyFont="1" applyFill="1" applyBorder="1" applyAlignment="1">
      <alignment horizontal="center" vertical="center"/>
    </xf>
    <xf numFmtId="168" fontId="18" fillId="0" borderId="1" xfId="9" applyFont="1" applyBorder="1" applyAlignment="1">
      <alignment horizontal="left" vertical="center" wrapText="1"/>
    </xf>
    <xf numFmtId="168" fontId="18" fillId="0" borderId="1" xfId="9" applyFont="1" applyBorder="1" applyAlignment="1">
      <alignment vertical="center" wrapText="1"/>
    </xf>
    <xf numFmtId="168" fontId="58" fillId="0" borderId="1" xfId="9" applyFont="1" applyBorder="1" applyAlignment="1">
      <alignment vertical="center" wrapText="1"/>
    </xf>
    <xf numFmtId="165" fontId="57" fillId="9" borderId="1" xfId="9" applyNumberFormat="1" applyFont="1" applyFill="1" applyBorder="1" applyAlignment="1">
      <alignment horizontal="center" vertical="center"/>
    </xf>
    <xf numFmtId="168" fontId="57" fillId="9" borderId="1" xfId="9" applyFont="1" applyFill="1" applyBorder="1" applyAlignment="1">
      <alignment horizontal="left" vertical="center" wrapText="1"/>
    </xf>
    <xf numFmtId="168" fontId="60" fillId="0" borderId="1" xfId="9" applyFont="1" applyBorder="1" applyAlignment="1">
      <alignment horizontal="left" vertical="center"/>
    </xf>
    <xf numFmtId="0" fontId="60" fillId="0" borderId="0" xfId="0" applyFont="1" applyAlignment="1">
      <alignment vertical="center"/>
    </xf>
    <xf numFmtId="0" fontId="61" fillId="0" borderId="0" xfId="0" applyFont="1" applyAlignment="1">
      <alignment vertical="center" wrapText="1"/>
    </xf>
    <xf numFmtId="165" fontId="62" fillId="0" borderId="0" xfId="0" applyNumberFormat="1" applyFont="1" applyAlignment="1">
      <alignment horizontal="center" vertical="center"/>
    </xf>
    <xf numFmtId="0" fontId="60" fillId="0" borderId="0" xfId="0" applyFont="1" applyAlignment="1">
      <alignment horizontal="left" vertical="center" wrapText="1"/>
    </xf>
    <xf numFmtId="168" fontId="60" fillId="0" borderId="0" xfId="9" applyFont="1" applyAlignment="1">
      <alignment horizontal="left" vertical="center"/>
    </xf>
    <xf numFmtId="0" fontId="63" fillId="0" borderId="0" xfId="0" applyFont="1" applyAlignment="1">
      <alignment vertical="center"/>
    </xf>
    <xf numFmtId="0" fontId="7" fillId="0" borderId="0" xfId="0" applyFont="1" applyAlignment="1">
      <alignment vertical="center" wrapText="1"/>
    </xf>
    <xf numFmtId="165" fontId="64" fillId="0" borderId="0" xfId="0" applyNumberFormat="1" applyFont="1" applyAlignment="1">
      <alignment horizontal="center" vertical="center"/>
    </xf>
    <xf numFmtId="0" fontId="63" fillId="0" borderId="0" xfId="0" applyFont="1" applyAlignment="1">
      <alignment horizontal="left" vertical="center" wrapText="1"/>
    </xf>
    <xf numFmtId="168" fontId="63" fillId="0" borderId="0" xfId="9" applyFont="1" applyAlignment="1">
      <alignment horizontal="left" vertical="center"/>
    </xf>
    <xf numFmtId="0" fontId="65" fillId="0" borderId="1" xfId="0" applyFont="1" applyBorder="1" applyAlignment="1">
      <alignment vertical="center"/>
    </xf>
    <xf numFmtId="0" fontId="6" fillId="0" borderId="0" xfId="0" applyFont="1" applyAlignment="1">
      <alignment wrapText="1"/>
    </xf>
    <xf numFmtId="0" fontId="60" fillId="0" borderId="1" xfId="0" applyFont="1" applyBorder="1" applyAlignment="1">
      <alignment vertical="center"/>
    </xf>
    <xf numFmtId="168" fontId="58" fillId="0" borderId="1" xfId="9" applyFont="1" applyBorder="1" applyAlignment="1">
      <alignment horizontal="right" vertical="center" wrapText="1"/>
    </xf>
    <xf numFmtId="165" fontId="59" fillId="0" borderId="1" xfId="9" applyNumberFormat="1" applyFont="1" applyBorder="1" applyAlignment="1">
      <alignment horizontal="center" vertical="center" wrapText="1"/>
    </xf>
    <xf numFmtId="168" fontId="58" fillId="0" borderId="1" xfId="9" applyFont="1" applyBorder="1" applyAlignment="1">
      <alignment horizontal="left" vertical="center" wrapText="1"/>
    </xf>
    <xf numFmtId="0" fontId="58" fillId="0" borderId="1" xfId="0" applyFont="1" applyBorder="1" applyAlignment="1">
      <alignment horizontal="center" vertical="center" wrapText="1"/>
    </xf>
    <xf numFmtId="168" fontId="63" fillId="0" borderId="1" xfId="9" applyFont="1" applyBorder="1" applyAlignment="1">
      <alignment horizontal="left" vertical="center" wrapText="1"/>
    </xf>
    <xf numFmtId="168" fontId="67" fillId="0" borderId="1" xfId="9" applyFont="1" applyBorder="1" applyAlignment="1">
      <alignment horizontal="center" vertical="center"/>
    </xf>
    <xf numFmtId="165" fontId="67" fillId="0" borderId="1" xfId="9" applyNumberFormat="1" applyFont="1" applyBorder="1" applyAlignment="1">
      <alignment horizontal="center" vertical="center"/>
    </xf>
    <xf numFmtId="168" fontId="63" fillId="0" borderId="1" xfId="9" applyFont="1" applyBorder="1" applyAlignment="1">
      <alignment horizontal="left" vertical="center"/>
    </xf>
    <xf numFmtId="168" fontId="63" fillId="0" borderId="1" xfId="9" applyFont="1" applyBorder="1" applyAlignment="1">
      <alignment vertical="center" wrapText="1"/>
    </xf>
    <xf numFmtId="168" fontId="63" fillId="0" borderId="1" xfId="9" applyFont="1" applyBorder="1" applyAlignment="1">
      <alignment vertical="center"/>
    </xf>
    <xf numFmtId="168" fontId="63" fillId="0" borderId="1" xfId="9" applyFont="1" applyBorder="1" applyAlignment="1">
      <alignment horizontal="center" vertical="center" wrapText="1"/>
    </xf>
    <xf numFmtId="168" fontId="30" fillId="0" borderId="1" xfId="9" applyFont="1" applyBorder="1" applyAlignment="1">
      <alignment horizontal="center" vertical="center"/>
    </xf>
    <xf numFmtId="165" fontId="67" fillId="0" borderId="0" xfId="9" applyNumberFormat="1" applyFont="1" applyAlignment="1">
      <alignment vertical="center"/>
    </xf>
    <xf numFmtId="168" fontId="7" fillId="0" borderId="1" xfId="9" applyFont="1" applyBorder="1" applyAlignment="1">
      <alignment horizontal="left" vertical="center" wrapText="1"/>
    </xf>
    <xf numFmtId="168" fontId="7" fillId="0" borderId="1" xfId="9" applyFont="1" applyBorder="1" applyAlignment="1">
      <alignment horizontal="left" vertical="center"/>
    </xf>
    <xf numFmtId="168" fontId="68" fillId="0" borderId="1" xfId="9" applyFont="1" applyBorder="1" applyAlignment="1">
      <alignment horizontal="left" vertical="center"/>
    </xf>
    <xf numFmtId="168" fontId="68" fillId="0" borderId="1" xfId="9" applyFont="1" applyBorder="1" applyAlignment="1">
      <alignment vertical="center"/>
    </xf>
    <xf numFmtId="168" fontId="69" fillId="0" borderId="0" xfId="9" applyFont="1" applyAlignment="1">
      <alignment wrapText="1"/>
    </xf>
    <xf numFmtId="168" fontId="69" fillId="0" borderId="0" xfId="9" applyFont="1"/>
    <xf numFmtId="0" fontId="60" fillId="4" borderId="1" xfId="0" applyFont="1" applyFill="1" applyBorder="1" applyAlignment="1">
      <alignment horizontal="center" vertical="center"/>
    </xf>
    <xf numFmtId="0" fontId="63" fillId="0" borderId="1" xfId="0" applyFont="1" applyBorder="1" applyAlignment="1">
      <alignment vertical="center" wrapText="1"/>
    </xf>
    <xf numFmtId="0" fontId="63" fillId="0" borderId="1" xfId="0" applyFont="1" applyBorder="1" applyAlignment="1">
      <alignment horizontal="left" vertical="center" wrapText="1"/>
    </xf>
    <xf numFmtId="0" fontId="63" fillId="0" borderId="1" xfId="0" applyFont="1" applyBorder="1" applyAlignment="1">
      <alignment vertical="center"/>
    </xf>
    <xf numFmtId="0" fontId="63" fillId="0" borderId="1" xfId="0" applyFont="1" applyBorder="1" applyAlignment="1">
      <alignment horizontal="center" vertical="center" wrapText="1"/>
    </xf>
    <xf numFmtId="0" fontId="69" fillId="0" borderId="0" xfId="0" applyFont="1" applyAlignment="1">
      <alignment wrapText="1"/>
    </xf>
    <xf numFmtId="0" fontId="69" fillId="0" borderId="0" xfId="0" applyFont="1"/>
    <xf numFmtId="168" fontId="63" fillId="0" borderId="1" xfId="0" applyNumberFormat="1" applyFont="1" applyBorder="1" applyAlignment="1">
      <alignment vertical="center"/>
    </xf>
    <xf numFmtId="170" fontId="67" fillId="0" borderId="0" xfId="0" applyNumberFormat="1" applyFont="1" applyAlignment="1">
      <alignment horizontal="center" vertical="center"/>
    </xf>
    <xf numFmtId="0" fontId="63" fillId="0" borderId="1" xfId="0" applyFont="1" applyBorder="1" applyAlignment="1">
      <alignment horizontal="left" vertical="center"/>
    </xf>
    <xf numFmtId="168" fontId="44" fillId="0" borderId="1" xfId="9" applyFont="1" applyBorder="1"/>
    <xf numFmtId="168" fontId="63" fillId="7" borderId="1" xfId="9" applyFont="1" applyFill="1" applyBorder="1" applyAlignment="1">
      <alignment horizontal="left" vertical="center"/>
    </xf>
    <xf numFmtId="168" fontId="63" fillId="7" borderId="1" xfId="9" applyFont="1" applyFill="1" applyBorder="1" applyAlignment="1">
      <alignment vertical="center"/>
    </xf>
    <xf numFmtId="168" fontId="63" fillId="7" borderId="1" xfId="9" applyFont="1" applyFill="1" applyBorder="1" applyAlignment="1">
      <alignment horizontal="center" vertical="center" wrapText="1"/>
    </xf>
    <xf numFmtId="168" fontId="44" fillId="0" borderId="1" xfId="9" applyFont="1" applyBorder="1" applyAlignment="1">
      <alignment wrapText="1"/>
    </xf>
    <xf numFmtId="171" fontId="63" fillId="0" borderId="1" xfId="9" applyNumberFormat="1" applyFont="1" applyBorder="1" applyAlignment="1">
      <alignment horizontal="left" vertical="center" wrapText="1"/>
    </xf>
    <xf numFmtId="168" fontId="70" fillId="0" borderId="1" xfId="9" applyFont="1" applyBorder="1" applyAlignment="1">
      <alignment horizontal="left" vertical="center"/>
    </xf>
    <xf numFmtId="165" fontId="67" fillId="0" borderId="7" xfId="9" applyNumberFormat="1" applyFont="1" applyBorder="1" applyAlignment="1">
      <alignment horizontal="center" vertical="center"/>
    </xf>
    <xf numFmtId="168" fontId="65" fillId="7" borderId="1" xfId="9" applyFont="1" applyFill="1" applyBorder="1" applyAlignment="1">
      <alignment horizontal="center" vertical="center" wrapText="1"/>
    </xf>
    <xf numFmtId="168" fontId="60" fillId="0" borderId="1" xfId="9" applyFont="1" applyBorder="1" applyAlignment="1">
      <alignment horizontal="center" vertical="center"/>
    </xf>
    <xf numFmtId="168" fontId="58" fillId="4" borderId="1" xfId="9" applyFont="1" applyFill="1" applyBorder="1" applyAlignment="1">
      <alignment horizontal="center" vertical="top"/>
    </xf>
    <xf numFmtId="168" fontId="65" fillId="0" borderId="1" xfId="9" applyFont="1" applyBorder="1" applyAlignment="1">
      <alignment vertical="top" wrapText="1"/>
    </xf>
    <xf numFmtId="168" fontId="71" fillId="0" borderId="1" xfId="9" applyFont="1" applyBorder="1" applyAlignment="1">
      <alignment horizontal="center" vertical="top"/>
    </xf>
    <xf numFmtId="165" fontId="71" fillId="0" borderId="1" xfId="9" applyNumberFormat="1" applyFont="1" applyBorder="1" applyAlignment="1">
      <alignment horizontal="center" vertical="top"/>
    </xf>
    <xf numFmtId="168" fontId="65" fillId="0" borderId="1" xfId="9" applyFont="1" applyBorder="1" applyAlignment="1">
      <alignment horizontal="left" vertical="top" wrapText="1"/>
    </xf>
    <xf numFmtId="168" fontId="65" fillId="0" borderId="1" xfId="9" applyFont="1" applyBorder="1" applyAlignment="1">
      <alignment horizontal="left" vertical="top"/>
    </xf>
    <xf numFmtId="168" fontId="65" fillId="0" borderId="1" xfId="9" applyFont="1" applyBorder="1" applyAlignment="1">
      <alignment horizontal="center" vertical="top" wrapText="1"/>
    </xf>
    <xf numFmtId="168" fontId="15" fillId="0" borderId="0" xfId="9" applyFont="1" applyAlignment="1">
      <alignment wrapText="1"/>
    </xf>
    <xf numFmtId="168" fontId="15" fillId="0" borderId="0" xfId="9" applyFont="1"/>
    <xf numFmtId="168" fontId="52" fillId="0" borderId="0" xfId="9" applyFont="1"/>
    <xf numFmtId="165" fontId="28" fillId="0" borderId="0" xfId="0" applyNumberFormat="1" applyFont="1" applyAlignment="1">
      <alignment horizontal="center"/>
    </xf>
    <xf numFmtId="168" fontId="18" fillId="0" borderId="0" xfId="9" applyFont="1" applyAlignment="1">
      <alignment horizontal="left"/>
    </xf>
    <xf numFmtId="0" fontId="18" fillId="0" borderId="0" xfId="0" applyFont="1" applyAlignment="1">
      <alignment horizontal="left"/>
    </xf>
    <xf numFmtId="0" fontId="18" fillId="0" borderId="0" xfId="0" applyFont="1" applyAlignment="1">
      <alignment horizontal="center" wrapText="1"/>
    </xf>
    <xf numFmtId="0" fontId="30" fillId="0" borderId="1" xfId="0" applyFont="1" applyBorder="1" applyAlignment="1">
      <alignment vertical="center" wrapText="1"/>
    </xf>
    <xf numFmtId="165" fontId="28" fillId="0" borderId="1" xfId="0" applyNumberFormat="1" applyFont="1" applyBorder="1" applyAlignment="1">
      <alignment horizontal="center" vertical="center"/>
    </xf>
    <xf numFmtId="0" fontId="44" fillId="0" borderId="1" xfId="0" applyFont="1" applyBorder="1"/>
    <xf numFmtId="0" fontId="44" fillId="0" borderId="1" xfId="0" applyFont="1" applyBorder="1" applyAlignment="1">
      <alignment wrapText="1"/>
    </xf>
    <xf numFmtId="168" fontId="18" fillId="0" borderId="1" xfId="9" applyFont="1" applyBorder="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vertical="center"/>
    </xf>
    <xf numFmtId="168" fontId="71" fillId="0" borderId="1" xfId="9" applyFont="1" applyBorder="1" applyAlignment="1">
      <alignment horizontal="center" vertical="center"/>
    </xf>
    <xf numFmtId="168" fontId="15" fillId="5" borderId="1" xfId="9" applyFont="1" applyFill="1" applyBorder="1" applyAlignment="1">
      <alignment horizontal="center" vertical="center"/>
    </xf>
    <xf numFmtId="168" fontId="15" fillId="0" borderId="1" xfId="9" applyFont="1" applyBorder="1" applyAlignment="1">
      <alignment horizontal="center" vertical="center"/>
    </xf>
    <xf numFmtId="178" fontId="72" fillId="0" borderId="0" xfId="0" applyNumberFormat="1" applyFont="1" applyAlignment="1">
      <alignment horizontal="center"/>
    </xf>
    <xf numFmtId="178" fontId="73" fillId="0" borderId="0" xfId="0" applyNumberFormat="1" applyFont="1" applyAlignment="1">
      <alignment horizontal="center"/>
    </xf>
    <xf numFmtId="0" fontId="74" fillId="0" borderId="0" xfId="0" applyFont="1" applyAlignment="1">
      <alignment wrapText="1"/>
    </xf>
    <xf numFmtId="178" fontId="75" fillId="0" borderId="0" xfId="0" applyNumberFormat="1" applyFont="1"/>
    <xf numFmtId="168" fontId="28" fillId="7" borderId="0" xfId="9" applyFont="1" applyFill="1" applyAlignment="1">
      <alignment horizontal="right" vertical="center"/>
    </xf>
    <xf numFmtId="49" fontId="0" fillId="12" borderId="0" xfId="0" applyNumberFormat="1" applyFill="1" applyAlignment="1">
      <alignment wrapText="1"/>
    </xf>
    <xf numFmtId="178" fontId="75" fillId="0" borderId="0" xfId="0" applyNumberFormat="1" applyFont="1" applyAlignment="1">
      <alignment horizontal="right"/>
    </xf>
    <xf numFmtId="49" fontId="0" fillId="0" borderId="0" xfId="0" applyNumberFormat="1" applyAlignment="1">
      <alignment wrapText="1"/>
    </xf>
    <xf numFmtId="0" fontId="75" fillId="0" borderId="0" xfId="0" applyFont="1"/>
    <xf numFmtId="178" fontId="0" fillId="0" borderId="0" xfId="0" applyNumberFormat="1"/>
    <xf numFmtId="168" fontId="28" fillId="7" borderId="0" xfId="9" applyFont="1" applyFill="1" applyAlignment="1">
      <alignment horizontal="center" vertical="center"/>
    </xf>
    <xf numFmtId="0" fontId="14" fillId="0" borderId="1" xfId="0" applyFont="1" applyBorder="1" applyAlignment="1">
      <alignment horizontal="left" vertical="center"/>
    </xf>
    <xf numFmtId="0" fontId="17" fillId="0" borderId="1" xfId="0" applyFont="1" applyBorder="1" applyAlignment="1">
      <alignment horizontal="left" vertical="center"/>
    </xf>
    <xf numFmtId="172" fontId="14" fillId="0" borderId="1" xfId="0" applyNumberFormat="1" applyFont="1" applyBorder="1" applyAlignment="1">
      <alignment horizontal="center" vertical="center"/>
    </xf>
    <xf numFmtId="0" fontId="14" fillId="0" borderId="6" xfId="0" applyFont="1" applyBorder="1" applyAlignment="1">
      <alignment vertical="center"/>
    </xf>
    <xf numFmtId="164" fontId="14" fillId="0" borderId="6" xfId="0" applyNumberFormat="1" applyFont="1" applyBorder="1" applyAlignment="1">
      <alignment horizontal="center" vertical="center"/>
    </xf>
    <xf numFmtId="168" fontId="76" fillId="0" borderId="1" xfId="9" applyFont="1" applyBorder="1" applyAlignment="1">
      <alignment vertical="center"/>
    </xf>
    <xf numFmtId="0" fontId="17" fillId="0" borderId="7" xfId="0" applyFont="1" applyBorder="1" applyAlignment="1">
      <alignment horizontal="center" vertical="center"/>
    </xf>
    <xf numFmtId="168" fontId="14" fillId="0" borderId="7" xfId="9" applyFont="1" applyBorder="1" applyAlignment="1">
      <alignment vertical="center"/>
    </xf>
    <xf numFmtId="164" fontId="14" fillId="0" borderId="8" xfId="0" applyNumberFormat="1" applyFont="1" applyBorder="1" applyAlignment="1">
      <alignment horizontal="center" vertical="center"/>
    </xf>
    <xf numFmtId="0" fontId="17" fillId="14" borderId="1" xfId="0" applyFont="1" applyFill="1" applyBorder="1" applyAlignment="1">
      <alignment horizontal="left" vertical="center"/>
    </xf>
    <xf numFmtId="168" fontId="14" fillId="0" borderId="9" xfId="9" applyFont="1" applyBorder="1" applyAlignment="1">
      <alignment vertical="center"/>
    </xf>
    <xf numFmtId="168" fontId="14" fillId="0" borderId="2" xfId="9" applyFont="1" applyBorder="1" applyAlignment="1">
      <alignment vertical="center"/>
    </xf>
    <xf numFmtId="0" fontId="77" fillId="0" borderId="1" xfId="0" applyFont="1" applyBorder="1" applyAlignment="1">
      <alignment horizontal="center" vertical="center"/>
    </xf>
    <xf numFmtId="0" fontId="0" fillId="0" borderId="10" xfId="25" applyFont="1" applyBorder="1"/>
    <xf numFmtId="0" fontId="0" fillId="0" borderId="11" xfId="26" applyFont="1" applyBorder="1"/>
    <xf numFmtId="0" fontId="0" fillId="0" borderId="12" xfId="25" applyFont="1" applyBorder="1"/>
    <xf numFmtId="0" fontId="0" fillId="0" borderId="13" xfId="25" applyFont="1" applyBorder="1"/>
    <xf numFmtId="0" fontId="0" fillId="0" borderId="14" xfId="26" applyFont="1" applyBorder="1"/>
    <xf numFmtId="0" fontId="0" fillId="0" borderId="15" xfId="24" applyFont="1" applyBorder="1">
      <alignment horizontal="left"/>
    </xf>
    <xf numFmtId="0" fontId="0" fillId="0" borderId="4" xfId="24" applyFont="1" applyBorder="1">
      <alignment horizontal="left"/>
    </xf>
    <xf numFmtId="0" fontId="9" fillId="0" borderId="1" xfId="28" applyBorder="1">
      <alignment horizontal="left"/>
    </xf>
    <xf numFmtId="0" fontId="9" fillId="0" borderId="16" xfId="28" applyBorder="1">
      <alignment horizontal="left"/>
    </xf>
    <xf numFmtId="0" fontId="0" fillId="0" borderId="17" xfId="24" applyFont="1" applyBorder="1">
      <alignment horizontal="left"/>
    </xf>
    <xf numFmtId="0" fontId="0" fillId="0" borderId="18" xfId="29" applyFont="1" applyBorder="1"/>
    <xf numFmtId="0" fontId="0" fillId="0" borderId="19" xfId="29" applyFont="1" applyBorder="1"/>
    <xf numFmtId="0" fontId="9" fillId="0" borderId="0" xfId="27"/>
    <xf numFmtId="0" fontId="9" fillId="0" borderId="20" xfId="27" applyBorder="1"/>
    <xf numFmtId="0" fontId="0" fillId="0" borderId="21" xfId="24" applyFont="1" applyBorder="1">
      <alignment horizontal="left"/>
    </xf>
    <xf numFmtId="0" fontId="0" fillId="0" borderId="22" xfId="29" applyFont="1" applyBorder="1"/>
    <xf numFmtId="0" fontId="0" fillId="0" borderId="23" xfId="29" applyFont="1" applyBorder="1"/>
    <xf numFmtId="0" fontId="9" fillId="0" borderId="24" xfId="27" applyBorder="1"/>
    <xf numFmtId="0" fontId="0" fillId="0" borderId="15" xfId="29" applyFont="1" applyBorder="1"/>
    <xf numFmtId="0" fontId="0" fillId="0" borderId="25" xfId="29" applyFont="1" applyBorder="1"/>
    <xf numFmtId="0" fontId="9" fillId="0" borderId="26" xfId="27" applyBorder="1"/>
    <xf numFmtId="0" fontId="9" fillId="0" borderId="27" xfId="28" applyBorder="1">
      <alignment horizontal="left"/>
    </xf>
    <xf numFmtId="0" fontId="9" fillId="0" borderId="28" xfId="27" applyBorder="1"/>
    <xf numFmtId="0" fontId="9" fillId="0" borderId="29" xfId="27" applyBorder="1"/>
    <xf numFmtId="0" fontId="9" fillId="0" borderId="30" xfId="27" applyBorder="1"/>
    <xf numFmtId="0" fontId="9" fillId="0" borderId="31" xfId="27" applyBorder="1"/>
    <xf numFmtId="164" fontId="17" fillId="0" borderId="1" xfId="9" applyNumberFormat="1" applyFont="1" applyBorder="1" applyAlignment="1">
      <alignment horizontal="center"/>
    </xf>
    <xf numFmtId="174" fontId="0" fillId="0" borderId="1" xfId="0" applyNumberFormat="1" applyBorder="1" applyAlignment="1">
      <alignment horizontal="center"/>
    </xf>
    <xf numFmtId="0" fontId="0" fillId="0" borderId="1" xfId="0" applyBorder="1" applyAlignment="1">
      <alignment horizontal="center"/>
    </xf>
    <xf numFmtId="164" fontId="78" fillId="0" borderId="1" xfId="0" applyNumberFormat="1" applyFont="1" applyBorder="1" applyAlignment="1">
      <alignment horizontal="center"/>
    </xf>
    <xf numFmtId="0" fontId="0" fillId="0" borderId="7" xfId="0" applyBorder="1"/>
    <xf numFmtId="164" fontId="0" fillId="0" borderId="7" xfId="0" applyNumberFormat="1" applyBorder="1" applyAlignment="1">
      <alignment horizontal="center"/>
    </xf>
    <xf numFmtId="0" fontId="0" fillId="0" borderId="7" xfId="0" applyBorder="1" applyAlignment="1">
      <alignment horizontal="center"/>
    </xf>
    <xf numFmtId="168" fontId="0" fillId="0" borderId="7" xfId="0" applyNumberFormat="1" applyBorder="1"/>
    <xf numFmtId="164" fontId="0" fillId="0" borderId="1" xfId="0" applyNumberFormat="1" applyBorder="1" applyAlignment="1">
      <alignment horizontal="center"/>
    </xf>
    <xf numFmtId="173" fontId="14" fillId="0" borderId="1" xfId="0" applyNumberFormat="1" applyFont="1" applyBorder="1" applyAlignment="1">
      <alignment horizontal="center" vertical="center"/>
    </xf>
    <xf numFmtId="164" fontId="17" fillId="14" borderId="1" xfId="0" applyNumberFormat="1" applyFont="1" applyFill="1" applyBorder="1" applyAlignment="1">
      <alignment horizontal="center" vertical="center"/>
    </xf>
    <xf numFmtId="0" fontId="14" fillId="0" borderId="0" xfId="0" applyFont="1" applyAlignment="1">
      <alignment horizontal="center" vertical="center"/>
    </xf>
    <xf numFmtId="164" fontId="17" fillId="0" borderId="0" xfId="0" applyNumberFormat="1" applyFont="1" applyAlignment="1">
      <alignment horizontal="center" vertical="center"/>
    </xf>
    <xf numFmtId="0" fontId="17" fillId="0" borderId="0" xfId="0" applyFont="1" applyAlignment="1">
      <alignment horizontal="center" vertical="center"/>
    </xf>
    <xf numFmtId="172" fontId="14" fillId="0" borderId="0" xfId="0" applyNumberFormat="1" applyFont="1" applyAlignment="1">
      <alignment horizontal="center" vertical="center"/>
    </xf>
    <xf numFmtId="164" fontId="14" fillId="0" borderId="0" xfId="0" applyNumberFormat="1" applyFont="1" applyAlignment="1">
      <alignment horizontal="center" vertical="center"/>
    </xf>
    <xf numFmtId="0" fontId="14" fillId="0" borderId="0" xfId="0" applyFont="1" applyAlignment="1">
      <alignment vertical="center"/>
    </xf>
    <xf numFmtId="164" fontId="17" fillId="0" borderId="0" xfId="9" applyNumberFormat="1" applyFont="1" applyAlignment="1">
      <alignment horizontal="center"/>
    </xf>
    <xf numFmtId="174" fontId="0" fillId="0" borderId="0" xfId="0" applyNumberFormat="1" applyAlignment="1">
      <alignment horizontal="center"/>
    </xf>
    <xf numFmtId="164" fontId="79" fillId="0" borderId="0" xfId="0" applyNumberFormat="1" applyFont="1" applyAlignment="1">
      <alignment horizontal="center" vertical="center" wrapText="1"/>
    </xf>
    <xf numFmtId="164" fontId="0" fillId="0" borderId="0" xfId="0" applyNumberFormat="1" applyAlignment="1">
      <alignment horizontal="center"/>
    </xf>
    <xf numFmtId="175" fontId="52" fillId="0" borderId="1" xfId="0" applyNumberFormat="1" applyFont="1" applyBorder="1" applyAlignment="1">
      <alignment horizontal="center"/>
    </xf>
    <xf numFmtId="164" fontId="52" fillId="0" borderId="1" xfId="0" applyNumberFormat="1" applyFont="1" applyBorder="1" applyAlignment="1">
      <alignment horizontal="center"/>
    </xf>
    <xf numFmtId="0" fontId="52" fillId="0" borderId="1" xfId="0" applyFont="1" applyBorder="1" applyAlignment="1">
      <alignment horizontal="center" vertical="center"/>
    </xf>
    <xf numFmtId="0" fontId="52" fillId="0" borderId="1" xfId="0" applyFont="1" applyBorder="1" applyAlignment="1">
      <alignment horizontal="center"/>
    </xf>
    <xf numFmtId="168" fontId="52" fillId="0" borderId="1" xfId="9" applyFont="1" applyBorder="1" applyAlignment="1">
      <alignment horizontal="center"/>
    </xf>
    <xf numFmtId="0" fontId="52" fillId="0" borderId="0" xfId="0" applyFont="1" applyAlignment="1">
      <alignment horizontal="center"/>
    </xf>
    <xf numFmtId="175" fontId="0" fillId="0" borderId="1" xfId="0" applyNumberFormat="1" applyBorder="1"/>
    <xf numFmtId="168" fontId="17" fillId="0" borderId="1" xfId="9" applyFont="1" applyBorder="1" applyAlignment="1">
      <alignment vertical="center"/>
    </xf>
    <xf numFmtId="164" fontId="0" fillId="0" borderId="6" xfId="0" applyNumberFormat="1" applyBorder="1"/>
    <xf numFmtId="164" fontId="0" fillId="0" borderId="1" xfId="0" applyNumberFormat="1" applyBorder="1"/>
    <xf numFmtId="0" fontId="0" fillId="0" borderId="1" xfId="0" applyBorder="1" applyAlignment="1">
      <alignment horizontal="center" vertical="center"/>
    </xf>
    <xf numFmtId="175" fontId="17" fillId="0" borderId="1" xfId="0" applyNumberFormat="1" applyFont="1" applyBorder="1" applyAlignment="1">
      <alignment vertical="center"/>
    </xf>
    <xf numFmtId="164" fontId="17" fillId="0" borderId="1" xfId="0" applyNumberFormat="1" applyFont="1" applyBorder="1" applyAlignment="1">
      <alignment vertical="center"/>
    </xf>
    <xf numFmtId="175" fontId="14" fillId="0" borderId="1" xfId="0" applyNumberFormat="1" applyFont="1" applyBorder="1" applyAlignment="1">
      <alignment vertical="center"/>
    </xf>
    <xf numFmtId="173" fontId="17" fillId="0" borderId="1" xfId="0" applyNumberFormat="1" applyFont="1" applyBorder="1" applyAlignment="1">
      <alignment horizontal="center"/>
    </xf>
    <xf numFmtId="0" fontId="76" fillId="0" borderId="1" xfId="0" applyFont="1" applyBorder="1"/>
    <xf numFmtId="174" fontId="0" fillId="0" borderId="1" xfId="0" applyNumberFormat="1" applyBorder="1"/>
    <xf numFmtId="173" fontId="17" fillId="0" borderId="1" xfId="0" applyNumberFormat="1" applyFont="1" applyBorder="1" applyAlignment="1">
      <alignment horizontal="left"/>
    </xf>
    <xf numFmtId="168" fontId="8" fillId="0" borderId="1" xfId="9" applyFont="1" applyBorder="1" applyAlignment="1">
      <alignment horizontal="left" indent="1"/>
    </xf>
    <xf numFmtId="176" fontId="0" fillId="0" borderId="0" xfId="0" applyNumberFormat="1"/>
    <xf numFmtId="0" fontId="0" fillId="0" borderId="32" xfId="25" applyFont="1" applyBorder="1"/>
    <xf numFmtId="0" fontId="0" fillId="0" borderId="33" xfId="25" applyFont="1" applyBorder="1"/>
    <xf numFmtId="0" fontId="0" fillId="0" borderId="1" xfId="26" applyFont="1" applyBorder="1"/>
    <xf numFmtId="0" fontId="0" fillId="0" borderId="7" xfId="24" applyFont="1" applyBorder="1">
      <alignment horizontal="left"/>
    </xf>
    <xf numFmtId="0" fontId="9" fillId="0" borderId="34" xfId="27" applyBorder="1"/>
    <xf numFmtId="0" fontId="0" fillId="0" borderId="35" xfId="24" applyFont="1" applyBorder="1">
      <alignment horizontal="left"/>
    </xf>
    <xf numFmtId="0" fontId="0" fillId="0" borderId="3" xfId="24" applyFont="1" applyBorder="1">
      <alignment horizontal="left"/>
    </xf>
    <xf numFmtId="0" fontId="9" fillId="0" borderId="4" xfId="27" applyBorder="1"/>
    <xf numFmtId="0" fontId="0" fillId="0" borderId="34" xfId="29" applyFont="1" applyBorder="1"/>
    <xf numFmtId="0" fontId="9" fillId="0" borderId="7" xfId="27" applyBorder="1"/>
    <xf numFmtId="0" fontId="0" fillId="0" borderId="4" xfId="29" applyFont="1" applyBorder="1"/>
    <xf numFmtId="0" fontId="9" fillId="0" borderId="3" xfId="27" applyBorder="1"/>
    <xf numFmtId="0" fontId="9" fillId="0" borderId="36" xfId="28" applyBorder="1">
      <alignment horizontal="left"/>
    </xf>
    <xf numFmtId="0" fontId="9" fillId="0" borderId="29" xfId="28" applyBorder="1">
      <alignment horizontal="left"/>
    </xf>
    <xf numFmtId="0" fontId="69" fillId="7" borderId="1" xfId="0" applyFont="1" applyFill="1" applyBorder="1" applyAlignment="1">
      <alignment horizontal="left" vertical="center" wrapText="1"/>
    </xf>
    <xf numFmtId="0" fontId="18" fillId="7" borderId="0" xfId="0" applyFont="1" applyFill="1" applyAlignment="1">
      <alignment horizontal="left" wrapText="1"/>
    </xf>
    <xf numFmtId="0" fontId="18" fillId="7" borderId="0" xfId="0" applyFont="1" applyFill="1" applyAlignment="1">
      <alignment horizontal="left"/>
    </xf>
    <xf numFmtId="0" fontId="18" fillId="0" borderId="0" xfId="0" applyFont="1" applyAlignment="1">
      <alignment vertical="center" wrapText="1"/>
    </xf>
    <xf numFmtId="0" fontId="18" fillId="7" borderId="0" xfId="0" applyFont="1" applyFill="1" applyAlignment="1">
      <alignment vertical="center" wrapText="1"/>
    </xf>
    <xf numFmtId="169" fontId="18" fillId="0" borderId="1" xfId="9" applyNumberFormat="1" applyFont="1" applyBorder="1" applyAlignment="1">
      <alignment horizontal="left" vertical="center"/>
    </xf>
    <xf numFmtId="168" fontId="30" fillId="0" borderId="1" xfId="9" applyFont="1" applyBorder="1" applyAlignment="1">
      <alignment horizontal="left" vertical="center"/>
    </xf>
    <xf numFmtId="168" fontId="44" fillId="0" borderId="1" xfId="9" applyFont="1" applyBorder="1" applyAlignment="1">
      <alignment horizontal="left" vertical="center" wrapText="1"/>
    </xf>
    <xf numFmtId="168" fontId="18" fillId="0" borderId="0" xfId="9" applyFont="1" applyAlignment="1">
      <alignment vertical="center" wrapText="1"/>
    </xf>
    <xf numFmtId="168" fontId="8" fillId="0" borderId="0" xfId="9" applyFont="1" applyAlignment="1">
      <alignment horizontal="left" vertical="center"/>
    </xf>
    <xf numFmtId="168" fontId="44" fillId="0" borderId="1" xfId="9" applyFont="1" applyBorder="1" applyAlignment="1">
      <alignment horizontal="left" vertical="center"/>
    </xf>
    <xf numFmtId="168" fontId="8" fillId="0" borderId="1" xfId="9" applyFont="1" applyBorder="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9" fillId="0" borderId="0" xfId="0" applyFont="1" applyAlignment="1">
      <alignment wrapText="1"/>
    </xf>
    <xf numFmtId="181" fontId="28" fillId="7" borderId="1" xfId="9" applyNumberFormat="1" applyFont="1" applyFill="1" applyBorder="1" applyAlignment="1">
      <alignment horizontal="center" vertical="center"/>
    </xf>
    <xf numFmtId="181" fontId="18" fillId="7" borderId="1" xfId="9" applyNumberFormat="1" applyFont="1" applyFill="1" applyBorder="1" applyAlignment="1">
      <alignment horizontal="center" vertical="center"/>
    </xf>
    <xf numFmtId="181" fontId="15" fillId="7" borderId="1" xfId="9" applyNumberFormat="1" applyFont="1" applyFill="1" applyBorder="1" applyAlignment="1">
      <alignment horizontal="center" vertical="center"/>
    </xf>
    <xf numFmtId="181" fontId="18" fillId="7" borderId="1" xfId="0" applyNumberFormat="1" applyFont="1" applyFill="1" applyBorder="1" applyAlignment="1">
      <alignment vertical="center" wrapText="1"/>
    </xf>
    <xf numFmtId="182" fontId="18" fillId="0" borderId="1" xfId="9" applyNumberFormat="1" applyFont="1" applyBorder="1" applyAlignment="1">
      <alignment horizontal="center" vertical="center"/>
    </xf>
    <xf numFmtId="182" fontId="15" fillId="0" borderId="1" xfId="9" applyNumberFormat="1" applyFont="1" applyBorder="1" applyAlignment="1">
      <alignment horizontal="center" vertical="center"/>
    </xf>
    <xf numFmtId="181" fontId="18" fillId="0" borderId="1" xfId="9" applyNumberFormat="1" applyFont="1" applyBorder="1" applyAlignment="1">
      <alignment horizontal="center" vertical="center"/>
    </xf>
    <xf numFmtId="181" fontId="15" fillId="0" borderId="1" xfId="9" applyNumberFormat="1" applyFont="1" applyBorder="1" applyAlignment="1">
      <alignment horizontal="center" vertical="center"/>
    </xf>
    <xf numFmtId="182" fontId="18" fillId="7" borderId="1" xfId="9" applyNumberFormat="1" applyFont="1" applyFill="1" applyBorder="1" applyAlignment="1">
      <alignment horizontal="center" vertical="center"/>
    </xf>
    <xf numFmtId="165" fontId="18" fillId="7" borderId="1" xfId="9" applyNumberFormat="1" applyFont="1" applyFill="1" applyBorder="1" applyAlignment="1">
      <alignment horizontal="center" vertical="center"/>
    </xf>
    <xf numFmtId="182" fontId="18" fillId="7" borderId="5" xfId="9" applyNumberFormat="1" applyFont="1" applyFill="1" applyBorder="1" applyAlignment="1">
      <alignment horizontal="center" vertical="center"/>
    </xf>
    <xf numFmtId="165" fontId="18" fillId="7" borderId="5" xfId="9" applyNumberFormat="1" applyFont="1" applyFill="1" applyBorder="1" applyAlignment="1">
      <alignment horizontal="center" vertical="center"/>
    </xf>
    <xf numFmtId="182" fontId="18" fillId="7" borderId="1" xfId="9" applyNumberFormat="1" applyFont="1" applyFill="1" applyBorder="1" applyAlignment="1">
      <alignment horizontal="center" vertical="center" wrapText="1"/>
    </xf>
    <xf numFmtId="165" fontId="18" fillId="7" borderId="1" xfId="9" applyNumberFormat="1" applyFont="1" applyFill="1" applyBorder="1" applyAlignment="1">
      <alignment horizontal="center" vertical="center" wrapText="1"/>
    </xf>
    <xf numFmtId="182" fontId="15" fillId="7" borderId="1" xfId="9" applyNumberFormat="1" applyFont="1" applyFill="1" applyBorder="1" applyAlignment="1">
      <alignment horizontal="center" vertical="center"/>
    </xf>
    <xf numFmtId="165" fontId="15" fillId="9" borderId="1" xfId="9" applyNumberFormat="1" applyFont="1" applyFill="1" applyBorder="1" applyAlignment="1">
      <alignment horizontal="center" vertical="center"/>
    </xf>
    <xf numFmtId="165" fontId="18" fillId="0" borderId="1" xfId="0" applyNumberFormat="1" applyFont="1" applyBorder="1" applyAlignment="1">
      <alignment horizontal="center"/>
    </xf>
    <xf numFmtId="181" fontId="81" fillId="0" borderId="1" xfId="9" applyNumberFormat="1" applyFont="1" applyBorder="1" applyAlignment="1">
      <alignment horizontal="center" vertical="center"/>
    </xf>
    <xf numFmtId="181" fontId="85" fillId="0" borderId="1" xfId="9" applyNumberFormat="1" applyFont="1" applyBorder="1" applyAlignment="1">
      <alignment horizontal="center" vertical="center"/>
    </xf>
    <xf numFmtId="181" fontId="85" fillId="0" borderId="0" xfId="0" applyNumberFormat="1" applyFont="1" applyAlignment="1">
      <alignment horizontal="center" vertical="center"/>
    </xf>
    <xf numFmtId="181" fontId="85" fillId="0" borderId="7" xfId="9" applyNumberFormat="1" applyFont="1" applyBorder="1" applyAlignment="1">
      <alignment horizontal="center" vertical="center"/>
    </xf>
    <xf numFmtId="181" fontId="86" fillId="0" borderId="0" xfId="9" applyNumberFormat="1" applyFont="1" applyAlignment="1">
      <alignment horizontal="center" vertical="center"/>
    </xf>
    <xf numFmtId="168" fontId="87" fillId="10" borderId="1" xfId="9" applyFont="1" applyFill="1" applyBorder="1" applyAlignment="1">
      <alignment horizontal="center" vertical="center" wrapText="1"/>
    </xf>
    <xf numFmtId="181" fontId="88" fillId="0" borderId="0" xfId="9" applyNumberFormat="1" applyFont="1" applyAlignment="1">
      <alignment horizontal="center" vertical="center"/>
    </xf>
    <xf numFmtId="0" fontId="28" fillId="7" borderId="1" xfId="0" applyFont="1" applyFill="1" applyBorder="1" applyAlignment="1">
      <alignment horizontal="center" vertical="center"/>
    </xf>
    <xf numFmtId="0" fontId="89" fillId="0" borderId="0" xfId="0" applyFont="1" applyAlignment="1">
      <alignment vertical="center" wrapText="1"/>
    </xf>
    <xf numFmtId="49" fontId="0" fillId="15" borderId="0" xfId="0" applyNumberFormat="1" applyFill="1" applyAlignment="1">
      <alignment wrapText="1"/>
    </xf>
    <xf numFmtId="0" fontId="75" fillId="15" borderId="0" xfId="0" applyFont="1" applyFill="1"/>
    <xf numFmtId="178" fontId="91" fillId="0" borderId="37" xfId="0" applyNumberFormat="1" applyFont="1" applyBorder="1"/>
    <xf numFmtId="183" fontId="90" fillId="0" borderId="0" xfId="0" applyNumberFormat="1" applyFont="1" applyAlignment="1">
      <alignment horizontal="center"/>
    </xf>
    <xf numFmtId="0" fontId="92" fillId="0" borderId="0" xfId="0" applyFont="1" applyAlignment="1">
      <alignment vertical="center" wrapText="1"/>
    </xf>
    <xf numFmtId="181" fontId="28" fillId="7" borderId="0" xfId="9" applyNumberFormat="1" applyFont="1" applyFill="1" applyAlignment="1">
      <alignment horizontal="center" vertical="center"/>
    </xf>
    <xf numFmtId="168" fontId="28" fillId="0" borderId="0" xfId="9" applyFont="1" applyAlignment="1">
      <alignment horizontal="left" vertical="center" wrapText="1"/>
    </xf>
    <xf numFmtId="0" fontId="85" fillId="0" borderId="1" xfId="0" applyFont="1" applyBorder="1" applyAlignment="1">
      <alignment horizontal="left" vertical="center" wrapText="1"/>
    </xf>
    <xf numFmtId="0" fontId="28" fillId="7" borderId="0" xfId="0" quotePrefix="1" applyFont="1" applyFill="1" applyAlignment="1">
      <alignment vertical="top" wrapText="1"/>
    </xf>
    <xf numFmtId="9" fontId="18" fillId="0" borderId="0" xfId="32" applyFont="1"/>
    <xf numFmtId="3" fontId="30" fillId="7" borderId="0" xfId="9" applyNumberFormat="1" applyFont="1" applyFill="1" applyAlignment="1">
      <alignment horizontal="right" vertical="center"/>
    </xf>
    <xf numFmtId="3" fontId="30" fillId="7" borderId="4" xfId="9" applyNumberFormat="1" applyFont="1" applyFill="1" applyBorder="1" applyAlignment="1">
      <alignment horizontal="right" vertical="center"/>
    </xf>
    <xf numFmtId="4" fontId="94" fillId="0" borderId="0" xfId="0" applyNumberFormat="1" applyFont="1" applyAlignment="1">
      <alignment horizontal="center"/>
    </xf>
    <xf numFmtId="3" fontId="27" fillId="7" borderId="5" xfId="9" applyNumberFormat="1" applyFont="1" applyFill="1" applyBorder="1" applyAlignment="1">
      <alignment horizontal="right" vertical="center"/>
    </xf>
    <xf numFmtId="165" fontId="95" fillId="0" borderId="38" xfId="0" applyNumberFormat="1" applyFont="1" applyBorder="1" applyAlignment="1">
      <alignment horizontal="left"/>
    </xf>
    <xf numFmtId="3" fontId="94" fillId="0" borderId="39" xfId="0" applyNumberFormat="1" applyFont="1" applyBorder="1" applyAlignment="1">
      <alignment horizontal="center"/>
    </xf>
    <xf numFmtId="4" fontId="94" fillId="0" borderId="39" xfId="0" applyNumberFormat="1" applyFont="1" applyBorder="1" applyAlignment="1">
      <alignment horizontal="center"/>
    </xf>
    <xf numFmtId="3" fontId="93" fillId="7" borderId="40" xfId="9" applyNumberFormat="1" applyFont="1" applyFill="1" applyBorder="1" applyAlignment="1">
      <alignment horizontal="right" vertical="center"/>
    </xf>
    <xf numFmtId="168" fontId="8" fillId="0" borderId="0" xfId="9" applyFont="1" applyAlignment="1">
      <alignment horizontal="center" vertical="center"/>
    </xf>
    <xf numFmtId="0" fontId="18" fillId="0" borderId="0" xfId="0" quotePrefix="1" applyFont="1" applyAlignment="1">
      <alignment horizontal="center" vertical="center"/>
    </xf>
    <xf numFmtId="0" fontId="97" fillId="0" borderId="0" xfId="0" applyFont="1" applyAlignment="1">
      <alignment wrapText="1"/>
    </xf>
    <xf numFmtId="180" fontId="21" fillId="0" borderId="1" xfId="0" applyNumberFormat="1" applyFont="1" applyBorder="1" applyAlignment="1">
      <alignment horizontal="right"/>
    </xf>
    <xf numFmtId="0" fontId="98" fillId="7" borderId="1" xfId="0" applyFont="1" applyFill="1" applyBorder="1" applyAlignment="1">
      <alignment horizontal="left" vertical="center" wrapText="1"/>
    </xf>
    <xf numFmtId="0" fontId="96" fillId="0" borderId="0" xfId="0" applyFont="1" applyAlignment="1">
      <alignment horizontal="left" vertical="center"/>
    </xf>
    <xf numFmtId="182" fontId="98" fillId="7" borderId="1" xfId="9" applyNumberFormat="1" applyFont="1" applyFill="1" applyBorder="1" applyAlignment="1">
      <alignment horizontal="center" vertical="center"/>
    </xf>
    <xf numFmtId="0" fontId="98" fillId="7" borderId="0" xfId="0" applyFont="1" applyFill="1" applyAlignment="1">
      <alignment vertical="center" wrapText="1"/>
    </xf>
    <xf numFmtId="3" fontId="100" fillId="0" borderId="0" xfId="0" applyNumberFormat="1" applyFont="1" applyAlignment="1">
      <alignment horizontal="center"/>
    </xf>
    <xf numFmtId="0" fontId="80" fillId="0" borderId="0" xfId="0" applyFont="1"/>
    <xf numFmtId="0" fontId="96" fillId="0" borderId="0" xfId="0" applyFont="1" applyAlignment="1">
      <alignment horizontal="left" vertical="center" wrapText="1"/>
    </xf>
    <xf numFmtId="0" fontId="99" fillId="0" borderId="0" xfId="33" applyAlignment="1">
      <alignment vertical="center"/>
    </xf>
    <xf numFmtId="0" fontId="98" fillId="7" borderId="0" xfId="0" applyFont="1" applyFill="1" applyAlignment="1">
      <alignment wrapText="1"/>
    </xf>
    <xf numFmtId="0" fontId="103" fillId="7" borderId="0" xfId="0" applyFont="1" applyFill="1" applyAlignment="1">
      <alignment horizontal="left" wrapText="1"/>
    </xf>
    <xf numFmtId="0" fontId="103" fillId="7" borderId="0" xfId="0" applyFont="1" applyFill="1" applyAlignment="1">
      <alignment horizontal="left"/>
    </xf>
    <xf numFmtId="166" fontId="103" fillId="7" borderId="0" xfId="10" applyNumberFormat="1" applyFont="1" applyFill="1" applyAlignment="1">
      <alignment horizontal="left"/>
    </xf>
    <xf numFmtId="0" fontId="98" fillId="7" borderId="0" xfId="0" applyFont="1" applyFill="1" applyAlignment="1">
      <alignment horizontal="left" vertical="center" wrapText="1"/>
    </xf>
    <xf numFmtId="0" fontId="83" fillId="7" borderId="0" xfId="0" applyFont="1" applyFill="1" applyAlignment="1">
      <alignment horizontal="left" vertical="center" wrapText="1"/>
    </xf>
    <xf numFmtId="0" fontId="18" fillId="7" borderId="0" xfId="0" applyFont="1" applyFill="1" applyAlignment="1">
      <alignment horizontal="left" vertical="center" wrapText="1"/>
    </xf>
    <xf numFmtId="0" fontId="80" fillId="0" borderId="0" xfId="0" quotePrefix="1" applyFont="1" applyAlignment="1">
      <alignment vertical="center" wrapText="1"/>
    </xf>
    <xf numFmtId="0" fontId="15" fillId="0" borderId="0" xfId="0" applyFont="1" applyAlignment="1">
      <alignment horizontal="center" vertical="center"/>
    </xf>
    <xf numFmtId="0" fontId="104" fillId="0" borderId="0" xfId="0" applyFont="1" applyAlignment="1">
      <alignment horizontal="center" vertical="center" wrapText="1"/>
    </xf>
    <xf numFmtId="181" fontId="98" fillId="7" borderId="1" xfId="9" applyNumberFormat="1" applyFont="1" applyFill="1" applyBorder="1" applyAlignment="1">
      <alignment horizontal="center" vertical="center"/>
    </xf>
    <xf numFmtId="0" fontId="28" fillId="7" borderId="1" xfId="0" applyFont="1" applyFill="1" applyBorder="1" applyAlignment="1">
      <alignment horizontal="center" vertical="center" wrapText="1"/>
    </xf>
    <xf numFmtId="0" fontId="31" fillId="0" borderId="0" xfId="0" applyFont="1" applyAlignment="1">
      <alignment horizontal="left" vertical="center"/>
    </xf>
    <xf numFmtId="168" fontId="81" fillId="0" borderId="0" xfId="9" applyFont="1" applyAlignment="1">
      <alignment wrapText="1"/>
    </xf>
    <xf numFmtId="0" fontId="80" fillId="0" borderId="0" xfId="0" quotePrefix="1" applyFont="1" applyAlignment="1">
      <alignment horizontal="left" vertical="center" wrapText="1"/>
    </xf>
    <xf numFmtId="168" fontId="105" fillId="0" borderId="0" xfId="9" applyFont="1" applyAlignment="1">
      <alignment wrapText="1"/>
    </xf>
    <xf numFmtId="4" fontId="30" fillId="7" borderId="0" xfId="9" applyNumberFormat="1" applyFont="1" applyFill="1" applyAlignment="1">
      <alignment horizontal="center"/>
    </xf>
    <xf numFmtId="0" fontId="0" fillId="0" borderId="0" xfId="0" applyAlignment="1">
      <alignment horizontal="right"/>
    </xf>
    <xf numFmtId="165" fontId="15" fillId="10" borderId="1" xfId="9" applyNumberFormat="1" applyFont="1" applyFill="1" applyBorder="1" applyAlignment="1">
      <alignment horizontal="right" vertical="center" wrapText="1"/>
    </xf>
    <xf numFmtId="181" fontId="18" fillId="0" borderId="1" xfId="0" applyNumberFormat="1" applyFont="1" applyBorder="1" applyAlignment="1">
      <alignment horizontal="right" vertical="center" wrapText="1"/>
    </xf>
    <xf numFmtId="181" fontId="46" fillId="0" borderId="1" xfId="9" applyNumberFormat="1" applyFont="1" applyBorder="1" applyAlignment="1">
      <alignment horizontal="right" vertical="center" wrapText="1"/>
    </xf>
    <xf numFmtId="168" fontId="18" fillId="0" borderId="1" xfId="9" applyFont="1" applyBorder="1" applyAlignment="1">
      <alignment horizontal="right" vertical="top" wrapText="1"/>
    </xf>
    <xf numFmtId="0" fontId="18" fillId="0" borderId="0" xfId="0" applyFont="1" applyAlignment="1">
      <alignment horizontal="right" wrapText="1"/>
    </xf>
    <xf numFmtId="0" fontId="0" fillId="0" borderId="0" xfId="0" applyAlignment="1">
      <alignment horizontal="right" wrapText="1"/>
    </xf>
    <xf numFmtId="0" fontId="18" fillId="0" borderId="0" xfId="0" applyFont="1" applyAlignment="1">
      <alignment horizontal="left" vertical="center"/>
    </xf>
    <xf numFmtId="168" fontId="107" fillId="10" borderId="1" xfId="9" applyFont="1" applyFill="1" applyBorder="1" applyAlignment="1">
      <alignment horizontal="center" vertical="center" wrapText="1"/>
    </xf>
    <xf numFmtId="168" fontId="15" fillId="10" borderId="1" xfId="9" applyFont="1" applyFill="1" applyBorder="1" applyAlignment="1">
      <alignment horizontal="right" vertical="center" wrapText="1"/>
    </xf>
    <xf numFmtId="168" fontId="18" fillId="0" borderId="1" xfId="0" applyNumberFormat="1" applyFont="1" applyBorder="1" applyAlignment="1">
      <alignment horizontal="right" vertical="center" wrapText="1"/>
    </xf>
    <xf numFmtId="182" fontId="18" fillId="0" borderId="1" xfId="0" applyNumberFormat="1" applyFont="1" applyBorder="1" applyAlignment="1">
      <alignment horizontal="right" vertical="center" wrapText="1"/>
    </xf>
    <xf numFmtId="182" fontId="18" fillId="0" borderId="1" xfId="9" applyNumberFormat="1" applyFont="1" applyBorder="1" applyAlignment="1">
      <alignment horizontal="right" vertical="center"/>
    </xf>
    <xf numFmtId="0" fontId="43" fillId="0" borderId="0" xfId="0" applyFont="1" applyAlignment="1">
      <alignment horizontal="right" vertical="center"/>
    </xf>
    <xf numFmtId="0" fontId="44" fillId="0" borderId="0" xfId="0" applyFont="1" applyAlignment="1">
      <alignment horizontal="right"/>
    </xf>
    <xf numFmtId="0" fontId="18" fillId="0" borderId="5" xfId="0" applyFont="1" applyBorder="1" applyAlignment="1">
      <alignment horizontal="center" vertical="center" wrapText="1"/>
    </xf>
    <xf numFmtId="0" fontId="18" fillId="0" borderId="41" xfId="0" applyFont="1" applyBorder="1"/>
    <xf numFmtId="0" fontId="43" fillId="0" borderId="41" xfId="0" applyFont="1" applyBorder="1"/>
    <xf numFmtId="0" fontId="80" fillId="0" borderId="0" xfId="0" applyFont="1" applyAlignment="1">
      <alignment horizontal="center" vertical="center" wrapText="1"/>
    </xf>
    <xf numFmtId="0" fontId="80" fillId="0" borderId="41" xfId="0" applyFont="1" applyBorder="1" applyAlignment="1">
      <alignment horizontal="center" vertical="center" wrapText="1"/>
    </xf>
    <xf numFmtId="165" fontId="38" fillId="0" borderId="1" xfId="9" applyNumberFormat="1" applyFont="1" applyBorder="1" applyAlignment="1">
      <alignment horizontal="right" vertical="center" wrapText="1"/>
    </xf>
    <xf numFmtId="165" fontId="42" fillId="0" borderId="1" xfId="9" applyNumberFormat="1" applyFont="1" applyBorder="1" applyAlignment="1">
      <alignment horizontal="right" vertical="center"/>
    </xf>
    <xf numFmtId="182" fontId="46" fillId="0" borderId="1" xfId="9" applyNumberFormat="1" applyFont="1" applyBorder="1" applyAlignment="1">
      <alignment horizontal="right" vertical="center" wrapText="1"/>
    </xf>
    <xf numFmtId="165" fontId="42" fillId="0" borderId="1" xfId="9" applyNumberFormat="1" applyFont="1" applyBorder="1" applyAlignment="1">
      <alignment horizontal="right" vertical="top"/>
    </xf>
    <xf numFmtId="165" fontId="42" fillId="7" borderId="1" xfId="9" applyNumberFormat="1" applyFont="1" applyFill="1" applyBorder="1" applyAlignment="1">
      <alignment horizontal="right" vertical="top"/>
    </xf>
    <xf numFmtId="165" fontId="42" fillId="0" borderId="0" xfId="0" applyNumberFormat="1" applyFont="1" applyAlignment="1">
      <alignment horizontal="right"/>
    </xf>
    <xf numFmtId="165" fontId="45" fillId="0" borderId="0" xfId="0" applyNumberFormat="1" applyFont="1" applyAlignment="1">
      <alignment horizontal="right"/>
    </xf>
    <xf numFmtId="3" fontId="35" fillId="0" borderId="37" xfId="0" applyNumberFormat="1" applyFont="1" applyBorder="1" applyAlignment="1">
      <alignment horizontal="center" vertical="center"/>
    </xf>
    <xf numFmtId="168" fontId="28" fillId="7" borderId="37" xfId="9" applyFont="1" applyFill="1" applyBorder="1" applyAlignment="1">
      <alignment horizontal="right" vertical="center"/>
    </xf>
    <xf numFmtId="0" fontId="60" fillId="7" borderId="0" xfId="0" applyFont="1" applyFill="1" applyAlignment="1">
      <alignment horizontal="center" vertical="center"/>
    </xf>
    <xf numFmtId="0" fontId="60" fillId="7" borderId="0" xfId="0" applyFont="1" applyFill="1" applyAlignment="1">
      <alignment horizontal="center" vertical="center" wrapText="1"/>
    </xf>
    <xf numFmtId="182" fontId="108" fillId="7" borderId="1" xfId="9" applyNumberFormat="1" applyFont="1" applyFill="1" applyBorder="1" applyAlignment="1">
      <alignment horizontal="center" vertical="center"/>
    </xf>
    <xf numFmtId="182" fontId="98" fillId="0" borderId="1" xfId="9" applyNumberFormat="1" applyFont="1" applyBorder="1" applyAlignment="1">
      <alignment horizontal="center" vertical="center"/>
    </xf>
    <xf numFmtId="181" fontId="98" fillId="0" borderId="1" xfId="9" applyNumberFormat="1" applyFont="1" applyBorder="1" applyAlignment="1">
      <alignment horizontal="center" vertical="center"/>
    </xf>
    <xf numFmtId="0" fontId="0" fillId="0" borderId="0" xfId="0" applyAlignment="1">
      <alignment horizontal="center" vertical="center"/>
    </xf>
    <xf numFmtId="168" fontId="98" fillId="0" borderId="1" xfId="9" applyFont="1" applyBorder="1" applyAlignment="1">
      <alignment horizontal="left" vertical="center" wrapText="1"/>
    </xf>
    <xf numFmtId="181" fontId="109" fillId="0" borderId="1" xfId="9" applyNumberFormat="1" applyFont="1" applyBorder="1" applyAlignment="1">
      <alignment horizontal="center" vertical="center"/>
    </xf>
    <xf numFmtId="168" fontId="95" fillId="0" borderId="0" xfId="9" applyFont="1" applyAlignment="1">
      <alignment wrapText="1"/>
    </xf>
    <xf numFmtId="0" fontId="18" fillId="0" borderId="0" xfId="0" applyFont="1" applyAlignment="1">
      <alignment vertical="center"/>
    </xf>
    <xf numFmtId="168" fontId="8" fillId="0" borderId="0" xfId="9" applyFont="1" applyAlignment="1">
      <alignment vertical="center" wrapText="1"/>
    </xf>
    <xf numFmtId="0" fontId="6" fillId="0" borderId="0" xfId="0" applyFont="1" applyAlignment="1">
      <alignment horizontal="left" vertical="center" wrapText="1"/>
    </xf>
    <xf numFmtId="0" fontId="98" fillId="0" borderId="0" xfId="0" applyFont="1" applyAlignment="1">
      <alignment horizontal="center" vertical="center" wrapText="1"/>
    </xf>
    <xf numFmtId="0" fontId="18" fillId="0" borderId="0" xfId="0" applyFont="1" applyAlignment="1">
      <alignment horizontal="left" vertical="center" wrapText="1"/>
    </xf>
    <xf numFmtId="0" fontId="18" fillId="7" borderId="0" xfId="0" applyFont="1" applyFill="1" applyAlignment="1">
      <alignment vertical="top" wrapText="1"/>
    </xf>
    <xf numFmtId="178" fontId="9" fillId="11" borderId="37" xfId="0" applyNumberFormat="1" applyFont="1" applyFill="1" applyBorder="1" applyAlignment="1">
      <alignment horizontal="center"/>
    </xf>
    <xf numFmtId="178" fontId="9" fillId="12" borderId="37" xfId="0" applyNumberFormat="1" applyFont="1" applyFill="1" applyBorder="1" applyAlignment="1">
      <alignment horizontal="center"/>
    </xf>
    <xf numFmtId="0" fontId="9" fillId="0" borderId="37" xfId="0" applyFont="1" applyBorder="1" applyAlignment="1">
      <alignment horizontal="center"/>
    </xf>
    <xf numFmtId="178" fontId="72" fillId="13" borderId="37" xfId="0" applyNumberFormat="1" applyFont="1" applyFill="1" applyBorder="1" applyAlignment="1">
      <alignment horizontal="center"/>
    </xf>
    <xf numFmtId="178" fontId="0" fillId="0" borderId="37" xfId="0" applyNumberFormat="1" applyBorder="1"/>
    <xf numFmtId="0" fontId="0" fillId="0" borderId="37" xfId="0" applyBorder="1" applyAlignment="1">
      <alignment horizontal="left" vertical="center" wrapText="1"/>
    </xf>
    <xf numFmtId="184" fontId="9" fillId="15" borderId="37" xfId="0" applyNumberFormat="1" applyFont="1" applyFill="1" applyBorder="1"/>
    <xf numFmtId="178" fontId="112" fillId="0" borderId="37" xfId="0" applyNumberFormat="1" applyFont="1" applyBorder="1"/>
    <xf numFmtId="168" fontId="25" fillId="7" borderId="0" xfId="9" applyFont="1" applyFill="1" applyAlignment="1">
      <alignment horizontal="right" vertical="center"/>
    </xf>
    <xf numFmtId="0" fontId="113" fillId="0" borderId="0" xfId="0" applyFont="1" applyAlignment="1">
      <alignment horizontal="left" vertical="center" wrapText="1"/>
    </xf>
    <xf numFmtId="178" fontId="9" fillId="0" borderId="37" xfId="0" applyNumberFormat="1" applyFont="1" applyBorder="1" applyAlignment="1">
      <alignment horizontal="center"/>
    </xf>
    <xf numFmtId="49" fontId="0" fillId="11" borderId="0" xfId="0" applyNumberFormat="1" applyFill="1" applyAlignment="1">
      <alignment vertical="center" wrapText="1"/>
    </xf>
    <xf numFmtId="49" fontId="0" fillId="13" borderId="0" xfId="0" applyNumberFormat="1" applyFill="1" applyAlignment="1">
      <alignment vertical="center" wrapText="1"/>
    </xf>
    <xf numFmtId="49" fontId="73" fillId="0" borderId="0" xfId="0" applyNumberFormat="1" applyFont="1" applyAlignment="1">
      <alignment horizontal="center" wrapText="1"/>
    </xf>
    <xf numFmtId="49" fontId="74" fillId="0" borderId="0" xfId="0" applyNumberFormat="1" applyFont="1" applyAlignment="1">
      <alignment wrapText="1"/>
    </xf>
    <xf numFmtId="0" fontId="28" fillId="0" borderId="0" xfId="0" applyFont="1" applyAlignment="1">
      <alignment horizontal="center" vertical="center"/>
    </xf>
    <xf numFmtId="0" fontId="69" fillId="7" borderId="1" xfId="0" applyFont="1" applyFill="1" applyBorder="1" applyAlignment="1">
      <alignment horizontal="center" vertical="center"/>
    </xf>
    <xf numFmtId="181" fontId="69" fillId="7" borderId="1" xfId="9" applyNumberFormat="1" applyFont="1" applyFill="1" applyBorder="1" applyAlignment="1">
      <alignment horizontal="center" vertical="center"/>
    </xf>
    <xf numFmtId="181" fontId="115" fillId="7" borderId="1" xfId="9" applyNumberFormat="1" applyFont="1" applyFill="1" applyBorder="1" applyAlignment="1">
      <alignment horizontal="center" vertical="center"/>
    </xf>
    <xf numFmtId="168" fontId="69" fillId="7" borderId="1" xfId="9" applyFont="1" applyFill="1" applyBorder="1" applyAlignment="1">
      <alignment horizontal="right" vertical="center"/>
    </xf>
    <xf numFmtId="168" fontId="69" fillId="7" borderId="1" xfId="9" applyFont="1" applyFill="1" applyBorder="1" applyAlignment="1">
      <alignment vertical="center" wrapText="1"/>
    </xf>
    <xf numFmtId="0" fontId="69" fillId="7" borderId="1" xfId="0" applyFont="1" applyFill="1" applyBorder="1" applyAlignment="1">
      <alignment vertical="center"/>
    </xf>
    <xf numFmtId="0" fontId="69" fillId="7" borderId="1" xfId="0" applyFont="1" applyFill="1" applyBorder="1" applyAlignment="1">
      <alignment horizontal="center" vertical="center" wrapText="1"/>
    </xf>
    <xf numFmtId="0" fontId="69" fillId="7" borderId="0" xfId="0" applyFont="1" applyFill="1"/>
    <xf numFmtId="0" fontId="69" fillId="7" borderId="0" xfId="0" applyFont="1" applyFill="1" applyAlignment="1">
      <alignment wrapText="1"/>
    </xf>
    <xf numFmtId="168" fontId="80" fillId="0" borderId="1" xfId="9" applyFont="1" applyBorder="1" applyAlignment="1">
      <alignment horizontal="left" vertical="center" wrapText="1"/>
    </xf>
    <xf numFmtId="167" fontId="81" fillId="0" borderId="1" xfId="9" applyNumberFormat="1" applyFont="1" applyBorder="1" applyAlignment="1">
      <alignment horizontal="left" vertical="center" wrapText="1"/>
    </xf>
    <xf numFmtId="1" fontId="18" fillId="0" borderId="0" xfId="9" applyNumberFormat="1" applyFont="1"/>
    <xf numFmtId="168" fontId="118" fillId="0" borderId="1" xfId="9" applyFont="1" applyBorder="1" applyAlignment="1">
      <alignment vertical="center" wrapText="1"/>
    </xf>
    <xf numFmtId="181" fontId="118" fillId="0" borderId="1" xfId="9" applyNumberFormat="1" applyFont="1" applyBorder="1" applyAlignment="1">
      <alignment horizontal="center" vertical="center"/>
    </xf>
    <xf numFmtId="0" fontId="102" fillId="7" borderId="0" xfId="0" applyFont="1" applyFill="1" applyAlignment="1">
      <alignment horizontal="left" vertical="center" wrapText="1"/>
    </xf>
    <xf numFmtId="0" fontId="102" fillId="0" borderId="0" xfId="0" applyFont="1" applyAlignment="1">
      <alignment horizontal="left" vertical="center"/>
    </xf>
    <xf numFmtId="168" fontId="95" fillId="0" borderId="0" xfId="9" applyFont="1" applyAlignment="1">
      <alignment horizontal="left" wrapText="1"/>
    </xf>
    <xf numFmtId="0" fontId="80" fillId="0" borderId="41" xfId="0" applyFont="1" applyBorder="1" applyAlignment="1">
      <alignment horizontal="left" vertical="center" wrapText="1"/>
    </xf>
    <xf numFmtId="0" fontId="116" fillId="0" borderId="0" xfId="0" applyFont="1" applyAlignment="1">
      <alignment horizontal="left" vertical="center"/>
    </xf>
    <xf numFmtId="168" fontId="8" fillId="0" borderId="0" xfId="9" applyFont="1" applyAlignment="1">
      <alignment horizontal="center" vertical="center" wrapText="1"/>
    </xf>
    <xf numFmtId="0" fontId="73" fillId="0" borderId="0" xfId="0" applyFont="1" applyAlignment="1">
      <alignment horizontal="center" vertical="center" wrapText="1"/>
    </xf>
    <xf numFmtId="3" fontId="36" fillId="0" borderId="0" xfId="0" applyNumberFormat="1" applyFont="1" applyAlignment="1">
      <alignment horizontal="center" vertical="center"/>
    </xf>
    <xf numFmtId="49" fontId="0" fillId="16" borderId="0" xfId="0" applyNumberFormat="1" applyFill="1" applyAlignment="1">
      <alignment wrapText="1"/>
    </xf>
    <xf numFmtId="0" fontId="75" fillId="16" borderId="0" xfId="0" applyFont="1" applyFill="1"/>
    <xf numFmtId="178" fontId="0" fillId="16" borderId="0" xfId="0" applyNumberFormat="1" applyFill="1"/>
    <xf numFmtId="0" fontId="0" fillId="16" borderId="0" xfId="0" applyFill="1"/>
    <xf numFmtId="168" fontId="23" fillId="7" borderId="3" xfId="9" applyFont="1" applyFill="1" applyBorder="1" applyAlignment="1">
      <alignment horizontal="right" vertical="center"/>
    </xf>
    <xf numFmtId="0" fontId="106" fillId="0" borderId="0" xfId="0" applyFont="1" applyAlignment="1">
      <alignment horizontal="left" vertical="center" wrapText="1"/>
    </xf>
    <xf numFmtId="0" fontId="28" fillId="0" borderId="0" xfId="0" applyFont="1" applyAlignment="1">
      <alignment horizontal="left" vertical="center" wrapText="1"/>
    </xf>
    <xf numFmtId="0" fontId="80" fillId="0" borderId="0" xfId="0" applyFont="1" applyAlignment="1">
      <alignment horizontal="left" vertical="center" wrapText="1"/>
    </xf>
    <xf numFmtId="168" fontId="108" fillId="0" borderId="1" xfId="9" applyFont="1" applyBorder="1" applyAlignment="1">
      <alignment horizontal="left" vertical="center" wrapText="1"/>
    </xf>
    <xf numFmtId="181" fontId="108" fillId="0" borderId="1" xfId="9" applyNumberFormat="1" applyFont="1" applyBorder="1" applyAlignment="1">
      <alignment horizontal="center" vertical="center"/>
    </xf>
    <xf numFmtId="49" fontId="15" fillId="10" borderId="1" xfId="9"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165" fontId="15" fillId="17" borderId="1" xfId="9" applyNumberFormat="1" applyFont="1" applyFill="1" applyBorder="1" applyAlignment="1">
      <alignment horizontal="center" vertical="center" wrapText="1"/>
    </xf>
    <xf numFmtId="168" fontId="15" fillId="17" borderId="1" xfId="9" applyFont="1" applyFill="1" applyBorder="1" applyAlignment="1">
      <alignment horizontal="center" vertical="center" wrapText="1"/>
    </xf>
    <xf numFmtId="0" fontId="73" fillId="0" borderId="0" xfId="0" applyFont="1"/>
    <xf numFmtId="185" fontId="0" fillId="0" borderId="0" xfId="34" applyNumberFormat="1" applyFont="1"/>
    <xf numFmtId="0" fontId="74" fillId="0" borderId="0" xfId="0" applyFont="1"/>
    <xf numFmtId="0" fontId="0" fillId="0" borderId="42" xfId="0" applyBorder="1"/>
    <xf numFmtId="185" fontId="0" fillId="0" borderId="42" xfId="34" applyNumberFormat="1" applyFont="1" applyBorder="1"/>
    <xf numFmtId="0" fontId="69" fillId="0" borderId="1" xfId="0" applyFont="1" applyBorder="1" applyAlignment="1">
      <alignment vertical="center" wrapText="1"/>
    </xf>
    <xf numFmtId="182" fontId="69" fillId="0" borderId="1" xfId="0" applyNumberFormat="1" applyFont="1" applyBorder="1" applyAlignment="1">
      <alignment horizontal="right" vertical="center" wrapText="1"/>
    </xf>
    <xf numFmtId="165" fontId="69" fillId="0" borderId="1" xfId="9" applyNumberFormat="1" applyFont="1" applyBorder="1" applyAlignment="1">
      <alignment horizontal="center" vertical="center"/>
    </xf>
    <xf numFmtId="0" fontId="69" fillId="0" borderId="1" xfId="0" applyFont="1" applyBorder="1" applyAlignment="1">
      <alignment horizontal="left" vertical="center" wrapText="1"/>
    </xf>
    <xf numFmtId="181" fontId="69" fillId="0" borderId="1" xfId="0" applyNumberFormat="1" applyFont="1" applyBorder="1" applyAlignment="1">
      <alignment horizontal="right" vertical="center" wrapText="1"/>
    </xf>
    <xf numFmtId="168" fontId="69" fillId="0" borderId="1" xfId="9" applyFont="1" applyBorder="1" applyAlignment="1">
      <alignment horizontal="center" vertical="center"/>
    </xf>
    <xf numFmtId="169" fontId="69" fillId="0" borderId="1" xfId="9" applyNumberFormat="1" applyFont="1" applyBorder="1" applyAlignment="1">
      <alignment horizontal="center" vertical="center"/>
    </xf>
    <xf numFmtId="0" fontId="69" fillId="0" borderId="1" xfId="0" applyFont="1" applyBorder="1" applyAlignment="1">
      <alignment horizontal="center" vertical="center" wrapText="1"/>
    </xf>
    <xf numFmtId="0" fontId="44" fillId="0" borderId="0" xfId="0" applyFont="1" applyAlignment="1">
      <alignment vertical="center" wrapText="1"/>
    </xf>
    <xf numFmtId="182" fontId="80" fillId="0" borderId="1" xfId="9" applyNumberFormat="1" applyFont="1" applyBorder="1" applyAlignment="1">
      <alignment horizontal="center" vertical="center"/>
    </xf>
    <xf numFmtId="0" fontId="121" fillId="0" borderId="0" xfId="0" applyFont="1" applyAlignment="1">
      <alignment horizontal="left" vertical="center" wrapText="1"/>
    </xf>
    <xf numFmtId="0" fontId="122" fillId="0" borderId="0" xfId="0" applyFont="1" applyAlignment="1">
      <alignment horizontal="left" vertical="center"/>
    </xf>
    <xf numFmtId="0" fontId="2" fillId="0" borderId="0" xfId="0" applyFont="1"/>
    <xf numFmtId="0" fontId="104" fillId="0" borderId="0" xfId="0" applyFont="1" applyAlignment="1">
      <alignment wrapText="1"/>
    </xf>
    <xf numFmtId="0" fontId="104" fillId="0" borderId="0" xfId="0" applyFont="1" applyAlignment="1">
      <alignment horizontal="left" vertical="center" wrapText="1"/>
    </xf>
    <xf numFmtId="0" fontId="80" fillId="0" borderId="0" xfId="0" applyFont="1" applyAlignment="1">
      <alignment horizontal="left" wrapText="1"/>
    </xf>
    <xf numFmtId="168" fontId="80" fillId="0" borderId="0" xfId="9" applyFont="1" applyAlignment="1">
      <alignment vertical="center" wrapText="1"/>
    </xf>
    <xf numFmtId="0" fontId="104" fillId="0" borderId="0" xfId="0" applyFont="1" applyAlignment="1">
      <alignment vertical="top" wrapText="1"/>
    </xf>
    <xf numFmtId="0" fontId="111" fillId="0" borderId="0" xfId="0" applyFont="1" applyAlignment="1">
      <alignment vertical="center"/>
    </xf>
    <xf numFmtId="0" fontId="6" fillId="4" borderId="1" xfId="0" applyFont="1" applyFill="1" applyBorder="1" applyAlignment="1">
      <alignment vertical="center" wrapText="1"/>
    </xf>
    <xf numFmtId="0" fontId="123" fillId="4" borderId="7" xfId="0" applyFont="1" applyFill="1" applyBorder="1" applyAlignment="1">
      <alignment wrapText="1"/>
    </xf>
    <xf numFmtId="0" fontId="0" fillId="2" borderId="1" xfId="0" applyFill="1" applyBorder="1"/>
    <xf numFmtId="0" fontId="110" fillId="0" borderId="0" xfId="0" applyFont="1" applyAlignment="1">
      <alignment horizontal="left" vertical="center" wrapText="1"/>
    </xf>
    <xf numFmtId="0" fontId="117" fillId="0" borderId="0" xfId="0" applyFont="1" applyAlignment="1">
      <alignment horizontal="center"/>
    </xf>
    <xf numFmtId="0" fontId="110" fillId="0" borderId="0" xfId="0" applyFont="1" applyAlignment="1">
      <alignment horizontal="left" vertical="center"/>
    </xf>
    <xf numFmtId="0" fontId="21" fillId="0" borderId="1" xfId="0" applyFont="1" applyBorder="1" applyAlignment="1">
      <alignment horizontal="center"/>
    </xf>
    <xf numFmtId="0" fontId="6" fillId="0" borderId="1" xfId="0" applyFont="1" applyBorder="1"/>
    <xf numFmtId="0" fontId="6" fillId="0" borderId="1" xfId="0" applyFont="1" applyBorder="1" applyAlignment="1">
      <alignment vertical="center" wrapText="1"/>
    </xf>
    <xf numFmtId="0" fontId="106" fillId="0" borderId="0" xfId="0" applyFont="1" applyAlignment="1">
      <alignment horizontal="left" wrapText="1"/>
    </xf>
    <xf numFmtId="0" fontId="106" fillId="0" borderId="0" xfId="0" applyFont="1" applyAlignment="1">
      <alignment horizontal="left" vertical="center" wrapText="1"/>
    </xf>
    <xf numFmtId="0" fontId="101" fillId="0" borderId="41" xfId="0" applyFont="1" applyBorder="1" applyAlignment="1">
      <alignment horizontal="left" vertical="center" wrapText="1"/>
    </xf>
    <xf numFmtId="0" fontId="26" fillId="8" borderId="1" xfId="0" applyFont="1" applyFill="1" applyBorder="1" applyAlignment="1">
      <alignment vertical="center"/>
    </xf>
    <xf numFmtId="0" fontId="29" fillId="7" borderId="1" xfId="0" applyFont="1" applyFill="1" applyBorder="1" applyAlignment="1">
      <alignment horizontal="left" vertical="top"/>
    </xf>
    <xf numFmtId="0" fontId="6" fillId="0" borderId="1" xfId="0" applyFont="1" applyBorder="1" applyAlignment="1">
      <alignment wrapText="1"/>
    </xf>
    <xf numFmtId="0" fontId="39" fillId="8" borderId="1" xfId="0" applyFont="1" applyFill="1" applyBorder="1" applyAlignment="1">
      <alignment vertical="center"/>
    </xf>
    <xf numFmtId="0" fontId="22" fillId="7" borderId="1" xfId="0" applyFont="1" applyFill="1" applyBorder="1" applyAlignment="1">
      <alignment horizontal="left" vertical="center"/>
    </xf>
    <xf numFmtId="0" fontId="32" fillId="0" borderId="1" xfId="0" applyFont="1" applyBorder="1" applyAlignment="1">
      <alignment horizontal="left" vertical="center"/>
    </xf>
    <xf numFmtId="0" fontId="48" fillId="0" borderId="1" xfId="0" applyFont="1" applyBorder="1" applyAlignment="1">
      <alignment wrapText="1"/>
    </xf>
    <xf numFmtId="0" fontId="49" fillId="8" borderId="4" xfId="0" applyFont="1" applyFill="1" applyBorder="1"/>
    <xf numFmtId="0" fontId="22" fillId="0" borderId="1" xfId="0" applyFont="1" applyBorder="1" applyAlignment="1">
      <alignment horizontal="left" vertical="center"/>
    </xf>
    <xf numFmtId="0" fontId="44" fillId="0" borderId="0" xfId="0" applyFont="1" applyAlignment="1">
      <alignment horizontal="left" wrapText="1"/>
    </xf>
    <xf numFmtId="0" fontId="55" fillId="8" borderId="4" xfId="0" applyFont="1" applyFill="1" applyBorder="1" applyAlignment="1">
      <alignment vertical="center"/>
    </xf>
    <xf numFmtId="0" fontId="56" fillId="0" borderId="5" xfId="0" applyFont="1" applyBorder="1" applyAlignment="1">
      <alignment horizontal="left" vertical="center"/>
    </xf>
    <xf numFmtId="0" fontId="66" fillId="8" borderId="1" xfId="0" applyFont="1" applyFill="1" applyBorder="1" applyAlignment="1">
      <alignment vertical="center"/>
    </xf>
    <xf numFmtId="168" fontId="56" fillId="0" borderId="1" xfId="9" applyFont="1" applyBorder="1" applyAlignment="1">
      <alignment horizontal="left" vertical="center"/>
    </xf>
    <xf numFmtId="0" fontId="114" fillId="0" borderId="0" xfId="0" applyFont="1" applyAlignment="1">
      <alignment horizontal="left" vertical="center" wrapText="1"/>
    </xf>
    <xf numFmtId="0" fontId="111" fillId="0" borderId="0" xfId="0" applyFont="1" applyAlignment="1">
      <alignment horizontal="center" vertical="center" wrapText="1"/>
    </xf>
    <xf numFmtId="0" fontId="113" fillId="0" borderId="0" xfId="0" applyFont="1" applyAlignment="1">
      <alignment horizontal="left" vertical="center" wrapText="1"/>
    </xf>
    <xf numFmtId="0" fontId="9" fillId="0" borderId="0" xfId="0" applyFont="1" applyAlignment="1">
      <alignment horizontal="center" vertical="center" wrapText="1"/>
    </xf>
    <xf numFmtId="0" fontId="0" fillId="0" borderId="1" xfId="0" applyBorder="1"/>
    <xf numFmtId="0" fontId="37" fillId="0" borderId="1" xfId="0" applyFont="1" applyBorder="1" applyAlignment="1">
      <alignment vertical="center" wrapText="1"/>
    </xf>
    <xf numFmtId="0" fontId="6" fillId="0" borderId="43" xfId="0" applyFont="1" applyBorder="1" applyAlignment="1">
      <alignment horizontal="left" vertical="center" wrapText="1"/>
    </xf>
  </cellXfs>
  <cellStyles count="35">
    <cellStyle name="Comma 2" xfId="1" xr:uid="{00000000-0005-0000-0000-000000000000}"/>
    <cellStyle name="ConditionalStyle_1" xfId="2" xr:uid="{00000000-0005-0000-0000-000001000000}"/>
    <cellStyle name="Currency" xfId="34" builtinId="4"/>
    <cellStyle name="Currency 2" xfId="3" xr:uid="{00000000-0005-0000-0000-000002000000}"/>
    <cellStyle name="Currency 3" xfId="4" xr:uid="{00000000-0005-0000-0000-000003000000}"/>
    <cellStyle name="Currency 4" xfId="5" xr:uid="{00000000-0005-0000-0000-000004000000}"/>
    <cellStyle name="Currency 4 2" xfId="6" xr:uid="{00000000-0005-0000-0000-000005000000}"/>
    <cellStyle name="Currency 4 3" xfId="7" xr:uid="{00000000-0005-0000-0000-000006000000}"/>
    <cellStyle name="Currency 5" xfId="8" xr:uid="{00000000-0005-0000-0000-000007000000}"/>
    <cellStyle name="Excel Built-in Currency" xfId="9" xr:uid="{00000000-0005-0000-0000-000008000000}"/>
    <cellStyle name="Excel Built-in Percent" xfId="10" xr:uid="{00000000-0005-0000-0000-000009000000}"/>
    <cellStyle name="Excel Built-in Title" xfId="11" xr:uid="{00000000-0005-0000-0000-00000A000000}"/>
    <cellStyle name="Heading" xfId="12" xr:uid="{00000000-0005-0000-0000-00000B000000}"/>
    <cellStyle name="Heading1" xfId="13" xr:uid="{00000000-0005-0000-0000-00000C000000}"/>
    <cellStyle name="Hyperlink" xfId="33" builtinId="8"/>
    <cellStyle name="Normal" xfId="0" builtinId="0" customBuiltin="1"/>
    <cellStyle name="Normal 2" xfId="14" xr:uid="{00000000-0005-0000-0000-00000E000000}"/>
    <cellStyle name="Normal 3" xfId="15" xr:uid="{00000000-0005-0000-0000-00000F000000}"/>
    <cellStyle name="Normal 4" xfId="16" xr:uid="{00000000-0005-0000-0000-000010000000}"/>
    <cellStyle name="Normal 5" xfId="17" xr:uid="{00000000-0005-0000-0000-000011000000}"/>
    <cellStyle name="Normal 5 2" xfId="18" xr:uid="{00000000-0005-0000-0000-000012000000}"/>
    <cellStyle name="Normal 5 3" xfId="19" xr:uid="{00000000-0005-0000-0000-000013000000}"/>
    <cellStyle name="Normal 6" xfId="20" xr:uid="{00000000-0005-0000-0000-000014000000}"/>
    <cellStyle name="Percent" xfId="32" builtinId="5"/>
    <cellStyle name="Percent 2" xfId="21" xr:uid="{00000000-0005-0000-0000-000015000000}"/>
    <cellStyle name="Percent 2 2" xfId="22" xr:uid="{00000000-0005-0000-0000-000016000000}"/>
    <cellStyle name="Percent 2 3" xfId="23" xr:uid="{00000000-0005-0000-0000-000017000000}"/>
    <cellStyle name="Pivot Table Category" xfId="24" xr:uid="{00000000-0005-0000-0000-000018000000}"/>
    <cellStyle name="Pivot Table Corner" xfId="25" xr:uid="{00000000-0005-0000-0000-000019000000}"/>
    <cellStyle name="Pivot Table Field" xfId="26" xr:uid="{00000000-0005-0000-0000-00001A000000}"/>
    <cellStyle name="Pivot Table Result" xfId="27" xr:uid="{00000000-0005-0000-0000-00001B000000}"/>
    <cellStyle name="Pivot Table Title" xfId="28" xr:uid="{00000000-0005-0000-0000-00001C000000}"/>
    <cellStyle name="Pivot Table Value" xfId="29" xr:uid="{00000000-0005-0000-0000-00001D000000}"/>
    <cellStyle name="Result" xfId="30" xr:uid="{00000000-0005-0000-0000-00001E000000}"/>
    <cellStyle name="Result2" xfId="31" xr:uid="{00000000-0005-0000-0000-00001F000000}"/>
  </cellStyles>
  <dxfs count="3">
    <dxf>
      <font>
        <strike val="0"/>
        <color rgb="FFFF0000"/>
        <family val="2"/>
      </font>
    </dxf>
    <dxf>
      <font>
        <strike val="0"/>
        <color rgb="FFFF0000"/>
        <family val="2"/>
      </font>
    </dxf>
    <dxf>
      <font>
        <strike val="0"/>
        <color rgb="FFFF0000"/>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refreshedDate="0" createdVersion="8" refreshedVersion="8" recordCount="0" xr:uid="{00000000-000A-0000-FFFF-FFFF00000000}">
  <cacheSource type="worksheet">
    <worksheetSource ref="A1:I3" sheet="DPCache_2019-2020 Worksheet"/>
  </cacheSource>
  <cacheFields count="9">
    <cacheField name="Number" numFmtId="0">
      <sharedItems containsSemiMixedTypes="0" containsNonDate="0" containsString="0"/>
    </cacheField>
    <cacheField name="Date" numFmtId="0">
      <sharedItems containsSemiMixedTypes="0" containsNonDate="0" containsString="0"/>
    </cacheField>
    <cacheField name="Column1" numFmtId="0">
      <sharedItems containsSemiMixedTypes="0" containsNonDate="0" containsString="0"/>
    </cacheField>
    <cacheField name="Balance" numFmtId="0">
      <sharedItems containsSemiMixedTypes="0" containsNonDate="0" containsString="0"/>
    </cacheField>
    <cacheField name="Comments" numFmtId="0">
      <sharedItems containsSemiMixedTypes="0" containsNonDate="0" containsString="0"/>
    </cacheField>
    <cacheField name="Line #" numFmtId="0">
      <sharedItems containsNonDate="0" containsBlank="1" count="2">
        <s v="F13"/>
        <m/>
      </sharedItems>
    </cacheField>
    <cacheField name="Description of Transaction" numFmtId="0">
      <sharedItems containsNonDate="0" containsBlank="1" count="2">
        <s v="Alter Server Picnic"/>
        <m/>
      </sharedItems>
    </cacheField>
    <cacheField name="Debit   (-)" numFmtId="0">
      <sharedItems containsSemiMixedTypes="0" containsNonDate="0" containsString="0"/>
    </cacheField>
    <cacheField name="Credit (+)"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refreshedDate="0" createdVersion="8" refreshedVersion="8" recordCount="0" xr:uid="{00000000-000A-0000-FFFF-FFFF01000000}">
  <cacheSource type="worksheet">
    <worksheetSource ref="A1:G193" sheet="DPCache_2018 Warant Register"/>
  </cacheSource>
  <cacheFields count="7">
    <cacheField name="Number" numFmtId="0">
      <sharedItems containsSemiMixedTypes="0" containsNonDate="0" containsString="0"/>
    </cacheField>
    <cacheField name="Date" numFmtId="0">
      <sharedItems containsSemiMixedTypes="0" containsNonDate="0" containsString="0"/>
    </cacheField>
    <cacheField name="Description of Transaction" numFmtId="0">
      <sharedItems containsSemiMixedTypes="0" containsNonDate="0" containsString="0"/>
    </cacheField>
    <cacheField name="Column1" numFmtId="0">
      <sharedItems containsSemiMixedTypes="0" containsNonDate="0" containsString="0"/>
    </cacheField>
    <cacheField name="Line #" numFmtId="0">
      <sharedItems containsNonDate="0" containsBlank="1" count="43">
        <s v="F2"/>
        <s v="F3"/>
        <s v="F4"/>
        <s v="F5"/>
        <s v="F6"/>
        <s v="H3"/>
        <s v="I1"/>
        <s v="I10"/>
        <s v="I11"/>
        <s v="I17"/>
        <s v="I19"/>
        <s v="I2"/>
        <s v="I20"/>
        <s v="I21"/>
        <s v="I22"/>
        <s v="I23"/>
        <s v="i24"/>
        <s v="I4"/>
        <s v="I7"/>
        <s v="I9"/>
        <s v="L3"/>
        <s v="L8"/>
        <s v="M2"/>
        <s v="M4"/>
        <s v="O10"/>
        <s v="O12"/>
        <s v="O13"/>
        <s v="O14"/>
        <s v="O15"/>
        <s v="O16"/>
        <s v="O18"/>
        <s v="O2"/>
        <s v="U1"/>
        <s v="U5"/>
        <s v="U9"/>
        <s v="Y1"/>
        <s v="Y12"/>
        <s v="Y16"/>
        <s v="Y5"/>
        <s v="Y7"/>
        <m/>
        <s v="h6"/>
        <s v="I1 "/>
      </sharedItems>
    </cacheField>
    <cacheField name="Credit (+)" numFmtId="0">
      <sharedItems containsSemiMixedTypes="0" containsNonDate="0" containsString="0"/>
    </cacheField>
    <cacheField name="Debit   (-)"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3" cacheId="1" applyNumberFormats="0" applyBorderFormats="0" applyFontFormats="0" applyPatternFormats="0" applyAlignmentFormats="0" applyWidthHeightFormats="1" dataCaption="Values" updatedVersion="8" minRefreshableVersion="3" useAutoFormatting="1" itemPrintTitles="1" createdVersion="8" indent="0" compact="0" compactData="0">
  <location ref="A3:E48" firstHeaderRow="1" firstDataRow="2" firstDataCol="1"/>
  <pivotFields count="7">
    <pivotField compact="0" showAll="0" includeNewItemsInFilter="1">
      <items count="1">
        <item t="default"/>
      </items>
    </pivotField>
    <pivotField compact="0" showAll="0" includeNewItemsInFilter="1">
      <items count="1">
        <item t="default"/>
      </items>
    </pivotField>
    <pivotField compact="0" showAll="0" includeNewItemsInFilter="1">
      <items count="1">
        <item t="default"/>
      </items>
    </pivotField>
    <pivotField compact="0" showAll="0" includeNewItemsInFilter="1">
      <items count="1">
        <item t="default"/>
      </items>
    </pivotField>
    <pivotField axis="axisRow" compact="0" includeNewItemsInFilter="1">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dataField="1" compact="0" showAll="0" includeNewItemsInFilter="1">
      <items count="1">
        <item t="default"/>
      </items>
    </pivotField>
    <pivotField dataField="1" compact="0" showAll="0" includeNewItemsInFilter="1">
      <items count="1">
        <item t="default"/>
      </items>
    </pivotField>
  </pivotFields>
  <rowFields count="1">
    <field x="4"/>
  </rowFields>
  <colFields count="1">
    <field x="-2"/>
  </colFields>
  <dataFields count="2">
    <dataField name="Sum of Credit (+)" fld="5" baseField="5" baseItem="1048828"/>
    <dataField name="Sum of Debit   (-)" fld="6" baseField="6" baseItem="1048828"/>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200-000001000000}"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location ref="A3:F9" firstHeaderRow="1" firstDataRow="2" firstDataCol="2"/>
  <pivotFields count="9">
    <pivotField compact="0" showAll="0" includeNewItemsInFilter="1">
      <items count="1">
        <item t="default"/>
      </items>
    </pivotField>
    <pivotField compact="0" showAll="0" includeNewItemsInFilter="1">
      <items count="1">
        <item t="default"/>
      </items>
    </pivotField>
    <pivotField compact="0" showAll="0" includeNewItemsInFilter="1">
      <items count="1">
        <item t="default"/>
      </items>
    </pivotField>
    <pivotField compact="0" showAll="0" includeNewItemsInFilter="1">
      <items count="1">
        <item t="default"/>
      </items>
    </pivotField>
    <pivotField compact="0" showAll="0" includeNewItemsInFilter="1">
      <items count="1">
        <item t="default"/>
      </items>
    </pivotField>
    <pivotField axis="axisRow" compact="0" includeNewItemsInFilter="1">
      <items count="3">
        <item x="0"/>
        <item x="1"/>
        <item t="default"/>
      </items>
    </pivotField>
    <pivotField axis="axisRow" compact="0" includeNewItemsInFilter="1">
      <items count="3">
        <item x="0"/>
        <item x="1"/>
        <item t="default"/>
      </items>
    </pivotField>
    <pivotField dataField="1" compact="0" showAll="0" includeNewItemsInFilter="1">
      <items count="1">
        <item t="default"/>
      </items>
    </pivotField>
    <pivotField dataField="1" compact="0" showAll="0" includeNewItemsInFilter="1">
      <items count="1">
        <item t="default"/>
      </items>
    </pivotField>
  </pivotFields>
  <rowFields count="2">
    <field x="5"/>
    <field x="6"/>
  </rowFields>
  <colFields count="1">
    <field x="-2"/>
  </colFields>
  <dataFields count="2">
    <dataField name="Sum of Debit   (-)" fld="7" baseField="7" baseItem="1048828"/>
    <dataField name="Sum of Credit (+)" fld="8" baseField="8" baseItem="1048828"/>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vakofc.org/wp-content/uploads/2021/08/Fr.-Bader-Scholarship-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91"/>
  <sheetViews>
    <sheetView workbookViewId="0"/>
  </sheetViews>
  <sheetFormatPr defaultRowHeight="14.25" x14ac:dyDescent="0.2"/>
  <cols>
    <col min="1" max="1" width="1.5" customWidth="1"/>
    <col min="2" max="2" width="8" customWidth="1"/>
    <col min="3" max="3" width="9.125" style="62" customWidth="1"/>
    <col min="4" max="4" width="8.625" style="62" customWidth="1"/>
    <col min="5" max="5" width="23.5" customWidth="1"/>
    <col min="6" max="6" width="8.5" customWidth="1"/>
    <col min="7" max="7" width="11.875" style="16" customWidth="1"/>
    <col min="8" max="9" width="11.625" style="16" customWidth="1"/>
    <col min="10" max="10" width="35.75" style="16" customWidth="1"/>
    <col min="11" max="11" width="9.375" style="16" customWidth="1"/>
    <col min="12" max="12" width="10.125" style="16" customWidth="1"/>
    <col min="13" max="13" width="11.625" style="16" customWidth="1"/>
    <col min="14" max="14" width="7.75" customWidth="1"/>
    <col min="15" max="19" width="9.25" customWidth="1"/>
    <col min="20" max="20" width="7.75" customWidth="1"/>
    <col min="21" max="25" width="9.75" customWidth="1"/>
    <col min="26" max="26" width="7.75" customWidth="1"/>
    <col min="27" max="31" width="9.375" customWidth="1"/>
    <col min="32" max="38" width="7.75" customWidth="1"/>
    <col min="39" max="43" width="10" customWidth="1"/>
    <col min="44" max="44" width="7.75" customWidth="1"/>
    <col min="45" max="49" width="9.375" customWidth="1"/>
    <col min="50" max="1024" width="7.75" customWidth="1"/>
  </cols>
  <sheetData>
    <row r="1" spans="1:49" ht="15" x14ac:dyDescent="0.25">
      <c r="A1" s="1"/>
      <c r="B1" s="622"/>
      <c r="C1" s="622"/>
      <c r="D1" s="622"/>
      <c r="E1" s="622"/>
      <c r="F1" s="2"/>
      <c r="G1" s="3"/>
      <c r="H1" s="4"/>
      <c r="I1" s="5"/>
      <c r="J1" s="5"/>
      <c r="K1" s="5"/>
      <c r="L1" s="5"/>
      <c r="M1" s="5"/>
      <c r="O1" s="6" t="s">
        <v>0</v>
      </c>
      <c r="P1" s="6" t="s">
        <v>1</v>
      </c>
      <c r="Q1" s="6" t="s">
        <v>2</v>
      </c>
      <c r="R1" s="6" t="s">
        <v>3</v>
      </c>
      <c r="S1" s="6" t="s">
        <v>4</v>
      </c>
      <c r="T1" s="7"/>
      <c r="U1" s="8" t="s">
        <v>0</v>
      </c>
      <c r="V1" s="8" t="s">
        <v>1</v>
      </c>
      <c r="W1" s="8" t="s">
        <v>2</v>
      </c>
      <c r="X1" s="8" t="s">
        <v>3</v>
      </c>
      <c r="Y1" s="8" t="s">
        <v>4</v>
      </c>
      <c r="Z1" s="9"/>
      <c r="AA1" s="8" t="s">
        <v>0</v>
      </c>
      <c r="AB1" s="10" t="s">
        <v>1</v>
      </c>
      <c r="AC1" s="8" t="s">
        <v>2</v>
      </c>
      <c r="AD1" s="8" t="s">
        <v>3</v>
      </c>
      <c r="AE1" s="8" t="s">
        <v>4</v>
      </c>
      <c r="AF1" s="9"/>
      <c r="AG1" s="8" t="s">
        <v>0</v>
      </c>
      <c r="AH1" s="10" t="s">
        <v>1</v>
      </c>
      <c r="AI1" s="8" t="s">
        <v>2</v>
      </c>
      <c r="AJ1" s="8" t="s">
        <v>3</v>
      </c>
      <c r="AK1" s="8" t="s">
        <v>4</v>
      </c>
      <c r="AL1" s="9"/>
      <c r="AM1" s="8" t="s">
        <v>0</v>
      </c>
      <c r="AN1" s="8" t="s">
        <v>1</v>
      </c>
      <c r="AO1" s="8" t="s">
        <v>2</v>
      </c>
      <c r="AP1" s="8" t="s">
        <v>3</v>
      </c>
      <c r="AQ1" s="8" t="s">
        <v>4</v>
      </c>
      <c r="AR1" s="9"/>
      <c r="AS1" s="8" t="s">
        <v>0</v>
      </c>
      <c r="AT1" s="8" t="s">
        <v>1</v>
      </c>
      <c r="AU1" s="8" t="s">
        <v>2</v>
      </c>
      <c r="AV1" s="8" t="s">
        <v>3</v>
      </c>
      <c r="AW1" s="8" t="s">
        <v>4</v>
      </c>
    </row>
    <row r="2" spans="1:49" x14ac:dyDescent="0.2">
      <c r="A2" s="11"/>
      <c r="B2" s="12" t="s">
        <v>5</v>
      </c>
      <c r="C2" s="13" t="s">
        <v>6</v>
      </c>
      <c r="D2" s="14" t="s">
        <v>7</v>
      </c>
      <c r="E2" s="15" t="s">
        <v>1</v>
      </c>
      <c r="F2" s="15" t="s">
        <v>8</v>
      </c>
      <c r="G2" s="4" t="s">
        <v>3</v>
      </c>
      <c r="H2" s="4" t="s">
        <v>4</v>
      </c>
      <c r="I2" s="5"/>
      <c r="J2" s="16" t="s">
        <v>9</v>
      </c>
      <c r="K2" s="16" t="s">
        <v>10</v>
      </c>
      <c r="L2" s="16" t="s">
        <v>11</v>
      </c>
      <c r="M2" s="5"/>
      <c r="O2" s="17" t="s">
        <v>12</v>
      </c>
      <c r="P2" s="18" t="s">
        <v>12</v>
      </c>
      <c r="Q2" s="19" t="s">
        <v>12</v>
      </c>
      <c r="R2" s="20">
        <f>H24</f>
        <v>851</v>
      </c>
      <c r="S2" s="20">
        <f>N24</f>
        <v>0</v>
      </c>
      <c r="U2" s="21" t="s">
        <v>12</v>
      </c>
      <c r="V2" s="22" t="s">
        <v>12</v>
      </c>
      <c r="W2" s="23" t="s">
        <v>12</v>
      </c>
      <c r="X2" s="23" t="s">
        <v>12</v>
      </c>
      <c r="Y2" s="23" t="s">
        <v>12</v>
      </c>
      <c r="Z2" s="7"/>
      <c r="AA2" s="21" t="s">
        <v>12</v>
      </c>
      <c r="AB2" s="24" t="s">
        <v>12</v>
      </c>
      <c r="AC2" s="23" t="s">
        <v>12</v>
      </c>
      <c r="AD2" s="23" t="s">
        <v>12</v>
      </c>
      <c r="AE2" s="23" t="s">
        <v>12</v>
      </c>
      <c r="AF2" s="7"/>
      <c r="AG2" s="21" t="s">
        <v>12</v>
      </c>
      <c r="AH2" s="24" t="s">
        <v>12</v>
      </c>
      <c r="AI2" s="25" t="s">
        <v>12</v>
      </c>
      <c r="AJ2" s="25" t="s">
        <v>12</v>
      </c>
      <c r="AK2" s="25" t="s">
        <v>12</v>
      </c>
      <c r="AL2" s="7"/>
      <c r="AM2" s="21" t="s">
        <v>12</v>
      </c>
      <c r="AN2" s="24" t="s">
        <v>12</v>
      </c>
      <c r="AO2" s="25" t="s">
        <v>12</v>
      </c>
      <c r="AP2" s="25" t="s">
        <v>12</v>
      </c>
      <c r="AQ2" s="25" t="s">
        <v>12</v>
      </c>
      <c r="AR2" s="7"/>
      <c r="AS2" s="26" t="s">
        <v>12</v>
      </c>
      <c r="AT2" s="25" t="s">
        <v>12</v>
      </c>
      <c r="AU2" s="25" t="s">
        <v>12</v>
      </c>
      <c r="AV2" s="25" t="s">
        <v>12</v>
      </c>
      <c r="AW2" s="25" t="s">
        <v>12</v>
      </c>
    </row>
    <row r="3" spans="1:49" x14ac:dyDescent="0.2">
      <c r="A3" s="27"/>
      <c r="B3" s="12">
        <v>7403</v>
      </c>
      <c r="C3" s="28">
        <v>43467</v>
      </c>
      <c r="D3" s="29" t="s">
        <v>13</v>
      </c>
      <c r="E3" s="15" t="s">
        <v>14</v>
      </c>
      <c r="F3" s="11"/>
      <c r="G3" s="4">
        <v>62.18</v>
      </c>
      <c r="H3" s="30"/>
      <c r="I3" s="31"/>
      <c r="J3" s="32" t="s">
        <v>15</v>
      </c>
      <c r="K3" s="16">
        <v>300</v>
      </c>
      <c r="M3" s="31"/>
      <c r="O3" s="33" t="s">
        <v>12</v>
      </c>
      <c r="P3" s="34" t="s">
        <v>12</v>
      </c>
      <c r="Q3" s="35" t="s">
        <v>12</v>
      </c>
      <c r="R3" s="36">
        <f>H44</f>
        <v>0</v>
      </c>
      <c r="S3" s="36">
        <f>SUMIF($C$2:$C$406,"=i2",$F$2:$F$406)</f>
        <v>0</v>
      </c>
      <c r="U3" s="37" t="s">
        <v>12</v>
      </c>
      <c r="V3" s="38" t="s">
        <v>12</v>
      </c>
      <c r="W3" s="39" t="s">
        <v>12</v>
      </c>
      <c r="X3" s="39" t="s">
        <v>12</v>
      </c>
      <c r="Y3" s="39" t="s">
        <v>12</v>
      </c>
      <c r="Z3" s="7"/>
      <c r="AA3" s="37">
        <f>' Community Program Expenses'!G5</f>
        <v>0</v>
      </c>
      <c r="AB3" s="40">
        <f>' Community Program Expenses'!H5</f>
        <v>0</v>
      </c>
      <c r="AC3" s="39" t="s">
        <v>12</v>
      </c>
      <c r="AD3" s="39">
        <f>' Community Program Expenses'!M5</f>
        <v>0</v>
      </c>
      <c r="AE3" s="39" t="str">
        <f>' Community Program Expenses'!N5</f>
        <v>Requirement is for six boxes to meet VA KofC requirements. Totals $1320 plus shipping; Propose to send 3 each to Bonnie Brae Elementary &amp; Mariah Center</v>
      </c>
      <c r="AF3" s="7"/>
      <c r="AG3" s="37" t="s">
        <v>12</v>
      </c>
      <c r="AH3" s="40" t="s">
        <v>12</v>
      </c>
      <c r="AI3" s="39" t="s">
        <v>12</v>
      </c>
      <c r="AJ3" s="39" t="s">
        <v>12</v>
      </c>
      <c r="AK3" s="39" t="s">
        <v>12</v>
      </c>
      <c r="AL3" s="7"/>
      <c r="AM3" s="37" t="s">
        <v>12</v>
      </c>
      <c r="AN3" s="40" t="s">
        <v>12</v>
      </c>
      <c r="AO3" s="41" t="s">
        <v>12</v>
      </c>
      <c r="AP3" s="41" t="s">
        <v>12</v>
      </c>
      <c r="AQ3" s="41" t="s">
        <v>12</v>
      </c>
      <c r="AR3" s="7"/>
      <c r="AS3" s="42" t="s">
        <v>12</v>
      </c>
      <c r="AT3" s="41" t="s">
        <v>12</v>
      </c>
      <c r="AU3" s="41" t="s">
        <v>12</v>
      </c>
      <c r="AV3" s="41" t="s">
        <v>12</v>
      </c>
      <c r="AW3" s="41" t="s">
        <v>12</v>
      </c>
    </row>
    <row r="4" spans="1:49" x14ac:dyDescent="0.2">
      <c r="A4" s="11"/>
      <c r="B4" s="12">
        <v>7401</v>
      </c>
      <c r="C4" s="28">
        <v>43467</v>
      </c>
      <c r="D4" s="29" t="s">
        <v>16</v>
      </c>
      <c r="E4" s="15" t="s">
        <v>17</v>
      </c>
      <c r="F4" s="11"/>
      <c r="G4" s="4">
        <v>265.39999999999998</v>
      </c>
      <c r="H4" s="30"/>
      <c r="I4" s="31"/>
      <c r="J4" s="43" t="s">
        <v>18</v>
      </c>
      <c r="K4" s="16">
        <v>100</v>
      </c>
      <c r="M4" s="31"/>
      <c r="O4" s="33" t="s">
        <v>12</v>
      </c>
      <c r="P4" s="34" t="s">
        <v>12</v>
      </c>
      <c r="Q4" s="35" t="s">
        <v>12</v>
      </c>
      <c r="R4" s="36">
        <f>SUMIF($C$2:$C$406,"=i3",$E$2:$E$406)</f>
        <v>0</v>
      </c>
      <c r="S4" s="36">
        <f>SUMIF($C$2:$C$406,"=i3",$F$2:$F$406)</f>
        <v>0</v>
      </c>
      <c r="U4" s="37" t="s">
        <v>12</v>
      </c>
      <c r="V4" s="38" t="s">
        <v>12</v>
      </c>
      <c r="W4" s="39" t="s">
        <v>12</v>
      </c>
      <c r="X4" s="39" t="s">
        <v>12</v>
      </c>
      <c r="Y4" s="39" t="s">
        <v>12</v>
      </c>
      <c r="Z4" s="7"/>
      <c r="AA4" s="37" t="s">
        <v>19</v>
      </c>
      <c r="AB4" s="40" t="s">
        <v>12</v>
      </c>
      <c r="AC4" s="39" t="s">
        <v>12</v>
      </c>
      <c r="AD4" s="39" t="s">
        <v>12</v>
      </c>
      <c r="AE4" s="39" t="s">
        <v>12</v>
      </c>
      <c r="AF4" s="7"/>
      <c r="AG4" s="37" t="s">
        <v>12</v>
      </c>
      <c r="AH4" s="40" t="s">
        <v>12</v>
      </c>
      <c r="AI4" s="39" t="s">
        <v>12</v>
      </c>
      <c r="AJ4" s="39" t="s">
        <v>12</v>
      </c>
      <c r="AK4" s="39" t="s">
        <v>12</v>
      </c>
      <c r="AL4" s="7"/>
      <c r="AM4" s="37" t="s">
        <v>12</v>
      </c>
      <c r="AN4" s="40" t="s">
        <v>12</v>
      </c>
      <c r="AO4" s="41" t="s">
        <v>12</v>
      </c>
      <c r="AP4" s="41" t="s">
        <v>12</v>
      </c>
      <c r="AQ4" s="41" t="s">
        <v>12</v>
      </c>
      <c r="AR4" s="7"/>
      <c r="AS4" s="42" t="s">
        <v>12</v>
      </c>
      <c r="AT4" s="41" t="s">
        <v>12</v>
      </c>
      <c r="AU4" s="41" t="s">
        <v>12</v>
      </c>
      <c r="AV4" s="41" t="s">
        <v>12</v>
      </c>
      <c r="AW4" s="41" t="s">
        <v>12</v>
      </c>
    </row>
    <row r="5" spans="1:49" x14ac:dyDescent="0.2">
      <c r="A5" s="44"/>
      <c r="B5" s="44"/>
      <c r="C5" s="13">
        <v>43467</v>
      </c>
      <c r="D5" s="14" t="s">
        <v>20</v>
      </c>
      <c r="E5" s="15" t="s">
        <v>21</v>
      </c>
      <c r="F5" s="11"/>
      <c r="G5" s="4">
        <v>0</v>
      </c>
      <c r="H5" s="4">
        <v>4551.0642500000004</v>
      </c>
      <c r="I5" s="5"/>
      <c r="J5" s="43" t="s">
        <v>22</v>
      </c>
      <c r="K5" s="16">
        <v>100</v>
      </c>
      <c r="M5" s="5"/>
      <c r="O5" s="33" t="s">
        <v>12</v>
      </c>
      <c r="P5" s="34" t="s">
        <v>12</v>
      </c>
      <c r="Q5" s="35" t="s">
        <v>12</v>
      </c>
      <c r="R5" s="36">
        <f>SUMIF($C$2:$C$406,"=i4",$E$2:$E$406)</f>
        <v>0</v>
      </c>
      <c r="S5" s="36">
        <f>SUMIF($C$2:$C$406,"=i4",$F$2:$F$406)</f>
        <v>0</v>
      </c>
      <c r="U5" s="37" t="s">
        <v>12</v>
      </c>
      <c r="V5" s="38" t="s">
        <v>12</v>
      </c>
      <c r="W5" s="39" t="s">
        <v>12</v>
      </c>
      <c r="X5" s="39" t="s">
        <v>12</v>
      </c>
      <c r="Y5" s="39" t="s">
        <v>12</v>
      </c>
      <c r="Z5" s="7"/>
      <c r="AA5" s="37" t="e">
        <f>' Community Program Expenses'!#REF!</f>
        <v>#REF!</v>
      </c>
      <c r="AB5" s="40" t="e">
        <f>' Community Program Expenses'!#REF!</f>
        <v>#REF!</v>
      </c>
      <c r="AC5" s="39" t="s">
        <v>12</v>
      </c>
      <c r="AD5" s="39" t="e">
        <f>' Community Program Expenses'!#REF!</f>
        <v>#REF!</v>
      </c>
      <c r="AE5" s="39" t="e">
        <f>' Community Program Expenses'!#REF!</f>
        <v>#REF!</v>
      </c>
      <c r="AF5" s="7"/>
      <c r="AG5" s="37" t="s">
        <v>12</v>
      </c>
      <c r="AH5" s="40" t="s">
        <v>12</v>
      </c>
      <c r="AI5" s="39" t="s">
        <v>12</v>
      </c>
      <c r="AJ5" s="39" t="s">
        <v>12</v>
      </c>
      <c r="AK5" s="39" t="s">
        <v>12</v>
      </c>
      <c r="AL5" s="7"/>
      <c r="AM5" s="37" t="s">
        <v>12</v>
      </c>
      <c r="AN5" s="40" t="s">
        <v>12</v>
      </c>
      <c r="AO5" s="41" t="s">
        <v>12</v>
      </c>
      <c r="AP5" s="41" t="s">
        <v>12</v>
      </c>
      <c r="AQ5" s="41" t="s">
        <v>12</v>
      </c>
      <c r="AR5" s="7"/>
      <c r="AS5" s="42" t="s">
        <v>12</v>
      </c>
      <c r="AT5" s="41" t="s">
        <v>12</v>
      </c>
      <c r="AU5" s="41" t="s">
        <v>12</v>
      </c>
      <c r="AV5" s="41" t="s">
        <v>12</v>
      </c>
      <c r="AW5" s="41" t="s">
        <v>12</v>
      </c>
    </row>
    <row r="6" spans="1:49" x14ac:dyDescent="0.2">
      <c r="A6" s="44"/>
      <c r="B6" s="44"/>
      <c r="C6" s="13">
        <v>43467</v>
      </c>
      <c r="D6" s="14" t="s">
        <v>23</v>
      </c>
      <c r="E6" s="15" t="s">
        <v>24</v>
      </c>
      <c r="F6" s="11"/>
      <c r="G6" s="4"/>
      <c r="H6" s="4">
        <v>86</v>
      </c>
      <c r="I6" s="31"/>
      <c r="J6" s="43" t="s">
        <v>25</v>
      </c>
      <c r="K6" s="16">
        <v>100</v>
      </c>
      <c r="M6" s="31"/>
      <c r="O6" s="33" t="s">
        <v>12</v>
      </c>
      <c r="P6" s="34" t="s">
        <v>12</v>
      </c>
      <c r="Q6" s="35" t="s">
        <v>12</v>
      </c>
      <c r="R6" s="36">
        <f>SUMIF($C$2:$C$406,"=i5",$E$2:$E$406)</f>
        <v>0</v>
      </c>
      <c r="S6" s="36">
        <f>SUMIF($C$2:$C$406,"=i5",$F$2:$F$406)</f>
        <v>0</v>
      </c>
      <c r="U6" s="37" t="s">
        <v>12</v>
      </c>
      <c r="V6" s="38" t="s">
        <v>12</v>
      </c>
      <c r="W6" s="39" t="s">
        <v>12</v>
      </c>
      <c r="X6" s="39" t="s">
        <v>12</v>
      </c>
      <c r="Y6" s="39" t="s">
        <v>12</v>
      </c>
      <c r="Z6" s="7"/>
      <c r="AA6" s="37">
        <f>' Community Program Expenses'!G7</f>
        <v>0</v>
      </c>
      <c r="AB6" s="40">
        <f>' Community Program Expenses'!H7</f>
        <v>0</v>
      </c>
      <c r="AC6" s="39" t="s">
        <v>12</v>
      </c>
      <c r="AD6" s="39">
        <f>' Community Program Expenses'!M7</f>
        <v>0</v>
      </c>
      <c r="AE6" s="39">
        <f>' Community Program Expenses'!N7</f>
        <v>0</v>
      </c>
      <c r="AF6" s="7"/>
      <c r="AG6" s="37" t="s">
        <v>12</v>
      </c>
      <c r="AH6" s="40" t="s">
        <v>12</v>
      </c>
      <c r="AI6" s="39" t="s">
        <v>12</v>
      </c>
      <c r="AJ6" s="39" t="s">
        <v>12</v>
      </c>
      <c r="AK6" s="39" t="s">
        <v>12</v>
      </c>
      <c r="AL6" s="7"/>
      <c r="AM6" s="37" t="s">
        <v>12</v>
      </c>
      <c r="AN6" s="40" t="s">
        <v>12</v>
      </c>
      <c r="AO6" s="41" t="s">
        <v>12</v>
      </c>
      <c r="AP6" s="41" t="s">
        <v>12</v>
      </c>
      <c r="AQ6" s="41" t="s">
        <v>12</v>
      </c>
      <c r="AR6" s="7"/>
      <c r="AS6" s="42" t="s">
        <v>12</v>
      </c>
      <c r="AT6" s="41" t="s">
        <v>12</v>
      </c>
      <c r="AU6" s="41" t="s">
        <v>12</v>
      </c>
      <c r="AV6" s="41" t="s">
        <v>12</v>
      </c>
      <c r="AW6" s="41" t="s">
        <v>12</v>
      </c>
    </row>
    <row r="7" spans="1:49" x14ac:dyDescent="0.2">
      <c r="A7" s="44"/>
      <c r="B7" s="44"/>
      <c r="C7" s="13">
        <v>43467</v>
      </c>
      <c r="D7" s="14" t="s">
        <v>26</v>
      </c>
      <c r="E7" s="15" t="s">
        <v>27</v>
      </c>
      <c r="F7" s="11"/>
      <c r="G7" s="4">
        <v>0</v>
      </c>
      <c r="H7" s="4">
        <v>89</v>
      </c>
      <c r="I7" s="5"/>
      <c r="J7" s="32" t="s">
        <v>13</v>
      </c>
      <c r="K7" s="16">
        <v>612.33000000000004</v>
      </c>
      <c r="M7" s="5"/>
      <c r="O7" s="33" t="s">
        <v>12</v>
      </c>
      <c r="P7" s="34" t="s">
        <v>12</v>
      </c>
      <c r="Q7" s="35" t="s">
        <v>12</v>
      </c>
      <c r="R7" s="36">
        <f>SUMIF($C$2:$C$406,"=i6",$E$2:$E$406)</f>
        <v>0</v>
      </c>
      <c r="S7" s="36">
        <f>SUMIF($C$2:$C$406,"=i6",$F$2:$F$406)</f>
        <v>0</v>
      </c>
      <c r="U7" s="37" t="s">
        <v>12</v>
      </c>
      <c r="V7" s="38" t="s">
        <v>12</v>
      </c>
      <c r="W7" s="39" t="s">
        <v>12</v>
      </c>
      <c r="X7" s="39" t="s">
        <v>12</v>
      </c>
      <c r="Y7" s="39" t="s">
        <v>12</v>
      </c>
      <c r="Z7" s="7"/>
      <c r="AA7" s="37">
        <f>' Community Program Expenses'!G9</f>
        <v>0</v>
      </c>
      <c r="AB7" s="40">
        <f>' Community Program Expenses'!H9</f>
        <v>0</v>
      </c>
      <c r="AC7" s="39" t="s">
        <v>12</v>
      </c>
      <c r="AD7" s="39">
        <f>' Community Program Expenses'!M9</f>
        <v>0</v>
      </c>
      <c r="AE7" s="39" t="str">
        <f>' Community Program Expenses'!N9</f>
        <v>1 yr. Trustee and Chancellor</v>
      </c>
      <c r="AF7" s="7"/>
      <c r="AG7" s="37" t="s">
        <v>12</v>
      </c>
      <c r="AH7" s="40" t="s">
        <v>12</v>
      </c>
      <c r="AI7" s="39" t="s">
        <v>12</v>
      </c>
      <c r="AJ7" s="39" t="s">
        <v>12</v>
      </c>
      <c r="AK7" s="39" t="s">
        <v>12</v>
      </c>
      <c r="AL7" s="7"/>
      <c r="AM7" s="37" t="s">
        <v>12</v>
      </c>
      <c r="AN7" s="40" t="s">
        <v>12</v>
      </c>
      <c r="AO7" s="41" t="s">
        <v>12</v>
      </c>
      <c r="AP7" s="41" t="s">
        <v>12</v>
      </c>
      <c r="AQ7" s="41" t="s">
        <v>12</v>
      </c>
      <c r="AR7" s="7"/>
      <c r="AS7" s="42" t="s">
        <v>12</v>
      </c>
      <c r="AT7" s="41" t="s">
        <v>12</v>
      </c>
      <c r="AU7" s="41" t="s">
        <v>12</v>
      </c>
      <c r="AV7" s="41" t="s">
        <v>12</v>
      </c>
      <c r="AW7" s="41" t="s">
        <v>12</v>
      </c>
    </row>
    <row r="8" spans="1:49" x14ac:dyDescent="0.2">
      <c r="A8" s="44"/>
      <c r="B8" s="44"/>
      <c r="C8" s="28">
        <v>43467</v>
      </c>
      <c r="D8" s="14" t="s">
        <v>26</v>
      </c>
      <c r="E8" s="45" t="s">
        <v>27</v>
      </c>
      <c r="F8" s="11"/>
      <c r="G8" s="46">
        <v>0</v>
      </c>
      <c r="H8" s="30">
        <v>20</v>
      </c>
      <c r="I8" s="31"/>
      <c r="J8" s="43" t="s">
        <v>14</v>
      </c>
      <c r="K8" s="16">
        <v>612.33000000000004</v>
      </c>
      <c r="M8" s="31"/>
      <c r="O8" s="33" t="s">
        <v>12</v>
      </c>
      <c r="P8" s="34" t="s">
        <v>12</v>
      </c>
      <c r="Q8" s="35" t="s">
        <v>12</v>
      </c>
      <c r="R8" s="36">
        <f>H63</f>
        <v>37</v>
      </c>
      <c r="S8" s="36">
        <f>SUMIF($C$2:$C$406,"=i7",$F$2:$F$406)</f>
        <v>0</v>
      </c>
      <c r="U8" s="37" t="s">
        <v>12</v>
      </c>
      <c r="V8" s="38" t="s">
        <v>12</v>
      </c>
      <c r="W8" s="39" t="s">
        <v>12</v>
      </c>
      <c r="X8" s="39" t="s">
        <v>12</v>
      </c>
      <c r="Y8" s="39" t="s">
        <v>12</v>
      </c>
      <c r="Z8" s="7"/>
      <c r="AA8" s="37" t="s">
        <v>12</v>
      </c>
      <c r="AB8" s="40" t="s">
        <v>12</v>
      </c>
      <c r="AC8" s="39" t="s">
        <v>12</v>
      </c>
      <c r="AD8" s="39" t="s">
        <v>12</v>
      </c>
      <c r="AE8" s="39" t="s">
        <v>12</v>
      </c>
      <c r="AF8" s="7"/>
      <c r="AG8" s="37" t="s">
        <v>12</v>
      </c>
      <c r="AH8" s="40" t="s">
        <v>12</v>
      </c>
      <c r="AI8" s="39" t="s">
        <v>12</v>
      </c>
      <c r="AJ8" s="39" t="s">
        <v>12</v>
      </c>
      <c r="AK8" s="39" t="s">
        <v>12</v>
      </c>
      <c r="AL8" s="7"/>
      <c r="AM8" s="37" t="s">
        <v>12</v>
      </c>
      <c r="AN8" s="40" t="s">
        <v>12</v>
      </c>
      <c r="AO8" s="41" t="s">
        <v>12</v>
      </c>
      <c r="AP8" s="41" t="s">
        <v>12</v>
      </c>
      <c r="AQ8" s="41" t="s">
        <v>12</v>
      </c>
      <c r="AR8" s="7"/>
      <c r="AS8" s="42" t="s">
        <v>12</v>
      </c>
      <c r="AT8" s="41" t="s">
        <v>12</v>
      </c>
      <c r="AU8" s="41" t="s">
        <v>12</v>
      </c>
      <c r="AV8" s="41" t="s">
        <v>12</v>
      </c>
      <c r="AW8" s="41" t="s">
        <v>12</v>
      </c>
    </row>
    <row r="9" spans="1:49" x14ac:dyDescent="0.2">
      <c r="A9" s="44"/>
      <c r="B9" s="44"/>
      <c r="C9" s="13">
        <v>43467</v>
      </c>
      <c r="D9" s="14" t="s">
        <v>28</v>
      </c>
      <c r="E9" s="15" t="s">
        <v>29</v>
      </c>
      <c r="F9" s="11"/>
      <c r="G9" s="4">
        <v>0</v>
      </c>
      <c r="H9" s="4">
        <v>270.25</v>
      </c>
      <c r="I9" s="31"/>
      <c r="J9" s="32" t="s">
        <v>30</v>
      </c>
      <c r="K9" s="16">
        <v>2000</v>
      </c>
      <c r="M9" s="31"/>
      <c r="O9" s="33" t="s">
        <v>12</v>
      </c>
      <c r="P9" s="34" t="s">
        <v>12</v>
      </c>
      <c r="Q9" s="35" t="s">
        <v>12</v>
      </c>
      <c r="R9" s="36">
        <f>SUMIF($C$2:$C$406,"=i8",$E$2:$E$406)</f>
        <v>0</v>
      </c>
      <c r="S9" s="36">
        <f>SUMIF($C$2:$C$406,"=i8",$F$2:$F$406)</f>
        <v>0</v>
      </c>
      <c r="U9" s="37" t="s">
        <v>12</v>
      </c>
      <c r="V9" s="38" t="s">
        <v>12</v>
      </c>
      <c r="W9" s="39" t="s">
        <v>12</v>
      </c>
      <c r="X9" s="39" t="s">
        <v>12</v>
      </c>
      <c r="Y9" s="39" t="s">
        <v>12</v>
      </c>
      <c r="Z9" s="7"/>
      <c r="AA9" s="37">
        <f>' Community Program Expenses'!G11</f>
        <v>0</v>
      </c>
      <c r="AB9" s="40">
        <f>' Community Program Expenses'!H11</f>
        <v>0</v>
      </c>
      <c r="AC9" s="39" t="s">
        <v>12</v>
      </c>
      <c r="AD9" s="39">
        <f>' Community Program Expenses'!M11</f>
        <v>0</v>
      </c>
      <c r="AE9" s="39" t="str">
        <f>' Community Program Expenses'!N11</f>
        <v>Youth</v>
      </c>
      <c r="AF9" s="7"/>
      <c r="AG9" s="37" t="s">
        <v>12</v>
      </c>
      <c r="AH9" s="40" t="s">
        <v>12</v>
      </c>
      <c r="AI9" s="39" t="s">
        <v>12</v>
      </c>
      <c r="AJ9" s="39" t="s">
        <v>12</v>
      </c>
      <c r="AK9" s="39" t="s">
        <v>12</v>
      </c>
      <c r="AL9" s="7"/>
      <c r="AM9" s="37" t="s">
        <v>12</v>
      </c>
      <c r="AN9" s="40" t="s">
        <v>12</v>
      </c>
      <c r="AO9" s="41" t="s">
        <v>12</v>
      </c>
      <c r="AP9" s="41" t="s">
        <v>12</v>
      </c>
      <c r="AQ9" s="41" t="s">
        <v>12</v>
      </c>
      <c r="AR9" s="7"/>
      <c r="AS9" s="42" t="s">
        <v>12</v>
      </c>
      <c r="AT9" s="41" t="s">
        <v>12</v>
      </c>
      <c r="AU9" s="41" t="s">
        <v>12</v>
      </c>
      <c r="AV9" s="41" t="s">
        <v>12</v>
      </c>
      <c r="AW9" s="41" t="s">
        <v>12</v>
      </c>
    </row>
    <row r="10" spans="1:49" x14ac:dyDescent="0.2">
      <c r="A10" s="44"/>
      <c r="B10" s="44"/>
      <c r="C10" s="28">
        <v>43467</v>
      </c>
      <c r="D10" s="14" t="s">
        <v>28</v>
      </c>
      <c r="E10" s="11" t="s">
        <v>31</v>
      </c>
      <c r="F10" s="11"/>
      <c r="G10" s="46">
        <v>0</v>
      </c>
      <c r="H10" s="30">
        <v>375.95</v>
      </c>
      <c r="I10" s="31"/>
      <c r="J10" s="43" t="s">
        <v>32</v>
      </c>
      <c r="K10" s="16">
        <v>1500</v>
      </c>
      <c r="M10" s="31"/>
      <c r="O10" s="33" t="s">
        <v>12</v>
      </c>
      <c r="P10" s="34" t="s">
        <v>12</v>
      </c>
      <c r="Q10" s="35" t="s">
        <v>12</v>
      </c>
      <c r="R10" s="36">
        <f>H66</f>
        <v>14.59</v>
      </c>
      <c r="S10" s="36">
        <f>SUMIF($C$2:$C$406,"=i9",$F$2:$F$406)</f>
        <v>0</v>
      </c>
      <c r="U10" s="37" t="s">
        <v>12</v>
      </c>
      <c r="V10" s="38" t="s">
        <v>12</v>
      </c>
      <c r="W10" s="39" t="s">
        <v>12</v>
      </c>
      <c r="X10" s="39" t="s">
        <v>12</v>
      </c>
      <c r="Y10" s="39" t="s">
        <v>12</v>
      </c>
      <c r="Z10" s="7"/>
      <c r="AA10" s="37" t="s">
        <v>12</v>
      </c>
      <c r="AB10" s="40" t="s">
        <v>12</v>
      </c>
      <c r="AC10" s="39" t="s">
        <v>12</v>
      </c>
      <c r="AD10" s="39" t="s">
        <v>12</v>
      </c>
      <c r="AE10" s="39" t="s">
        <v>12</v>
      </c>
      <c r="AF10" s="7"/>
      <c r="AG10" s="37" t="s">
        <v>12</v>
      </c>
      <c r="AH10" s="40" t="s">
        <v>12</v>
      </c>
      <c r="AI10" s="39" t="s">
        <v>12</v>
      </c>
      <c r="AJ10" s="39" t="s">
        <v>12</v>
      </c>
      <c r="AK10" s="39" t="s">
        <v>12</v>
      </c>
      <c r="AL10" s="7"/>
      <c r="AM10" s="37" t="s">
        <v>12</v>
      </c>
      <c r="AN10" s="40" t="s">
        <v>12</v>
      </c>
      <c r="AO10" s="41" t="s">
        <v>12</v>
      </c>
      <c r="AP10" s="41" t="s">
        <v>12</v>
      </c>
      <c r="AQ10" s="41" t="s">
        <v>12</v>
      </c>
      <c r="AR10" s="7"/>
      <c r="AS10" s="42" t="s">
        <v>12</v>
      </c>
      <c r="AT10" s="41" t="s">
        <v>12</v>
      </c>
      <c r="AU10" s="41" t="s">
        <v>12</v>
      </c>
      <c r="AV10" s="41" t="s">
        <v>12</v>
      </c>
      <c r="AW10" s="41" t="s">
        <v>12</v>
      </c>
    </row>
    <row r="11" spans="1:49" x14ac:dyDescent="0.2">
      <c r="A11" s="44"/>
      <c r="B11" s="44"/>
      <c r="C11" s="13">
        <v>43467</v>
      </c>
      <c r="D11" s="14" t="s">
        <v>33</v>
      </c>
      <c r="E11" s="15" t="s">
        <v>34</v>
      </c>
      <c r="F11" s="11"/>
      <c r="G11" s="4">
        <v>0</v>
      </c>
      <c r="H11" s="4">
        <v>26</v>
      </c>
      <c r="I11" s="31"/>
      <c r="J11" s="43" t="s">
        <v>35</v>
      </c>
      <c r="K11" s="16">
        <v>500</v>
      </c>
      <c r="M11" s="31"/>
      <c r="O11" s="33" t="s">
        <v>12</v>
      </c>
      <c r="P11" s="34" t="s">
        <v>12</v>
      </c>
      <c r="Q11" s="35" t="s">
        <v>12</v>
      </c>
      <c r="R11" s="36">
        <f>H27</f>
        <v>155.41</v>
      </c>
      <c r="S11" s="36">
        <f>SUMIF($C$2:$C$406,"=i10",$F$2:$F$406)</f>
        <v>0</v>
      </c>
      <c r="U11" s="37" t="s">
        <v>12</v>
      </c>
      <c r="V11" s="38" t="s">
        <v>12</v>
      </c>
      <c r="W11" s="39" t="s">
        <v>12</v>
      </c>
      <c r="X11" s="39" t="s">
        <v>12</v>
      </c>
      <c r="Y11" s="39" t="s">
        <v>12</v>
      </c>
      <c r="Z11" s="7"/>
      <c r="AA11" s="37" t="s">
        <v>12</v>
      </c>
      <c r="AB11" s="40" t="s">
        <v>12</v>
      </c>
      <c r="AC11" s="39" t="s">
        <v>12</v>
      </c>
      <c r="AD11" s="39" t="s">
        <v>12</v>
      </c>
      <c r="AE11" s="39" t="s">
        <v>12</v>
      </c>
      <c r="AF11" s="7"/>
      <c r="AG11" s="37" t="s">
        <v>12</v>
      </c>
      <c r="AH11" s="40" t="s">
        <v>12</v>
      </c>
      <c r="AI11" s="39" t="s">
        <v>12</v>
      </c>
      <c r="AJ11" s="39" t="s">
        <v>12</v>
      </c>
      <c r="AK11" s="39" t="s">
        <v>12</v>
      </c>
      <c r="AL11" s="7"/>
      <c r="AM11" s="37" t="s">
        <v>12</v>
      </c>
      <c r="AN11" s="40" t="s">
        <v>12</v>
      </c>
      <c r="AO11" s="41" t="s">
        <v>12</v>
      </c>
      <c r="AP11" s="41" t="s">
        <v>12</v>
      </c>
      <c r="AQ11" s="41" t="s">
        <v>12</v>
      </c>
      <c r="AR11" s="7"/>
      <c r="AS11" s="42" t="s">
        <v>12</v>
      </c>
      <c r="AT11" s="41" t="s">
        <v>12</v>
      </c>
      <c r="AU11" s="41" t="s">
        <v>12</v>
      </c>
      <c r="AV11" s="41" t="s">
        <v>12</v>
      </c>
      <c r="AW11" s="41" t="s">
        <v>12</v>
      </c>
    </row>
    <row r="12" spans="1:49" x14ac:dyDescent="0.2">
      <c r="A12" s="44"/>
      <c r="B12" s="44"/>
      <c r="C12" s="13">
        <v>43467</v>
      </c>
      <c r="D12" s="14" t="s">
        <v>36</v>
      </c>
      <c r="E12" s="15" t="s">
        <v>37</v>
      </c>
      <c r="F12" s="11"/>
      <c r="G12" s="4"/>
      <c r="H12" s="4">
        <v>26</v>
      </c>
      <c r="I12" s="31"/>
      <c r="J12" s="32" t="s">
        <v>38</v>
      </c>
      <c r="K12" s="16">
        <v>2700</v>
      </c>
      <c r="M12" s="31"/>
      <c r="O12" s="33" t="s">
        <v>12</v>
      </c>
      <c r="P12" s="34" t="s">
        <v>12</v>
      </c>
      <c r="Q12" s="35" t="s">
        <v>12</v>
      </c>
      <c r="R12" s="36">
        <f>H31</f>
        <v>186.03</v>
      </c>
      <c r="S12" s="36">
        <f>SUMIF($C$2:$C$406,"=i11",$F$2:$F$406)</f>
        <v>0</v>
      </c>
      <c r="U12" s="37" t="s">
        <v>12</v>
      </c>
      <c r="V12" s="38" t="s">
        <v>12</v>
      </c>
      <c r="W12" s="39" t="s">
        <v>12</v>
      </c>
      <c r="X12" s="39" t="s">
        <v>12</v>
      </c>
      <c r="Y12" s="39" t="s">
        <v>12</v>
      </c>
      <c r="Z12" s="7"/>
      <c r="AA12" s="37">
        <f>' Community Program Expenses'!G12</f>
        <v>0</v>
      </c>
      <c r="AB12" s="40">
        <f>' Community Program Expenses'!H12</f>
        <v>0</v>
      </c>
      <c r="AC12" s="39" t="s">
        <v>12</v>
      </c>
      <c r="AD12" s="39">
        <f>' Community Program Expenses'!M12</f>
        <v>0</v>
      </c>
      <c r="AE12" s="39" t="str">
        <f>' Community Program Expenses'!N12</f>
        <v>Fund with two Bingo events</v>
      </c>
      <c r="AF12" s="7"/>
      <c r="AG12" s="37" t="s">
        <v>12</v>
      </c>
      <c r="AH12" s="40" t="s">
        <v>12</v>
      </c>
      <c r="AI12" s="39" t="s">
        <v>12</v>
      </c>
      <c r="AJ12" s="39" t="s">
        <v>12</v>
      </c>
      <c r="AK12" s="39" t="s">
        <v>12</v>
      </c>
      <c r="AL12" s="7"/>
      <c r="AM12" s="37" t="s">
        <v>12</v>
      </c>
      <c r="AN12" s="40" t="s">
        <v>12</v>
      </c>
      <c r="AO12" s="41" t="s">
        <v>12</v>
      </c>
      <c r="AP12" s="41" t="s">
        <v>12</v>
      </c>
      <c r="AQ12" s="41" t="s">
        <v>12</v>
      </c>
      <c r="AR12" s="7"/>
      <c r="AS12" s="42" t="s">
        <v>12</v>
      </c>
      <c r="AT12" s="41" t="s">
        <v>12</v>
      </c>
      <c r="AU12" s="41" t="s">
        <v>12</v>
      </c>
      <c r="AV12" s="41" t="s">
        <v>12</v>
      </c>
      <c r="AW12" s="41" t="s">
        <v>12</v>
      </c>
    </row>
    <row r="13" spans="1:49" x14ac:dyDescent="0.2">
      <c r="A13" s="44"/>
      <c r="B13" s="44"/>
      <c r="C13" s="28">
        <v>43467</v>
      </c>
      <c r="D13" s="14" t="s">
        <v>39</v>
      </c>
      <c r="E13" s="45" t="s">
        <v>40</v>
      </c>
      <c r="F13" s="11"/>
      <c r="G13" s="46">
        <v>0</v>
      </c>
      <c r="H13" s="30">
        <v>1062.7735</v>
      </c>
      <c r="I13" s="31"/>
      <c r="J13" s="43" t="s">
        <v>41</v>
      </c>
      <c r="K13" s="16">
        <v>500</v>
      </c>
      <c r="M13" s="31"/>
      <c r="O13" s="33" t="s">
        <v>12</v>
      </c>
      <c r="P13" s="34" t="s">
        <v>12</v>
      </c>
      <c r="Q13" s="35" t="s">
        <v>12</v>
      </c>
      <c r="R13" s="36">
        <f>SUMIF($C$2:$C$406,"=i12",$E$2:$E$406)</f>
        <v>0</v>
      </c>
      <c r="S13" s="36">
        <f>SUMIF($C$2:$C$406,"=i12",$F$2:$F$406)</f>
        <v>0</v>
      </c>
      <c r="U13" s="37" t="s">
        <v>12</v>
      </c>
      <c r="V13" s="38" t="s">
        <v>12</v>
      </c>
      <c r="W13" s="39" t="s">
        <v>12</v>
      </c>
      <c r="X13" s="39" t="s">
        <v>12</v>
      </c>
      <c r="Y13" s="39" t="s">
        <v>12</v>
      </c>
      <c r="Z13" s="7"/>
      <c r="AA13" s="37">
        <f>' Community Program Expenses'!G13</f>
        <v>0</v>
      </c>
      <c r="AB13" s="40">
        <f>' Community Program Expenses'!H13</f>
        <v>0</v>
      </c>
      <c r="AC13" s="39" t="s">
        <v>12</v>
      </c>
      <c r="AD13" s="39">
        <f>' Community Program Expenses'!M13</f>
        <v>0</v>
      </c>
      <c r="AE13" s="39" t="str">
        <f>' Community Program Expenses'!N13</f>
        <v>Youth: Allocation: 2 scholarships for those attending Catholic High Schools and 3 for those attending Catholic Colleges or Universities</v>
      </c>
      <c r="AF13" s="7"/>
      <c r="AG13" s="37" t="s">
        <v>12</v>
      </c>
      <c r="AH13" s="40" t="s">
        <v>12</v>
      </c>
      <c r="AI13" s="39" t="s">
        <v>12</v>
      </c>
      <c r="AJ13" s="39" t="s">
        <v>12</v>
      </c>
      <c r="AK13" s="39" t="s">
        <v>12</v>
      </c>
      <c r="AL13" s="7"/>
      <c r="AM13" s="37" t="s">
        <v>12</v>
      </c>
      <c r="AN13" s="40" t="s">
        <v>12</v>
      </c>
      <c r="AO13" s="41" t="s">
        <v>12</v>
      </c>
      <c r="AP13" s="41" t="s">
        <v>12</v>
      </c>
      <c r="AQ13" s="41" t="s">
        <v>12</v>
      </c>
      <c r="AR13" s="7"/>
      <c r="AS13" s="42" t="s">
        <v>12</v>
      </c>
      <c r="AT13" s="41" t="s">
        <v>12</v>
      </c>
      <c r="AU13" s="41" t="s">
        <v>12</v>
      </c>
      <c r="AV13" s="41" t="s">
        <v>12</v>
      </c>
      <c r="AW13" s="41" t="s">
        <v>12</v>
      </c>
    </row>
    <row r="14" spans="1:49" x14ac:dyDescent="0.2">
      <c r="A14" s="44"/>
      <c r="B14" s="44"/>
      <c r="C14" s="28">
        <v>43467</v>
      </c>
      <c r="D14" s="14" t="s">
        <v>39</v>
      </c>
      <c r="E14" s="45" t="s">
        <v>42</v>
      </c>
      <c r="F14" s="11"/>
      <c r="G14" s="46">
        <v>0</v>
      </c>
      <c r="H14" s="30">
        <v>1900</v>
      </c>
      <c r="I14" s="31"/>
      <c r="J14" s="43" t="s">
        <v>43</v>
      </c>
      <c r="K14" s="16">
        <v>200</v>
      </c>
      <c r="M14" s="31"/>
      <c r="O14" s="33" t="s">
        <v>12</v>
      </c>
      <c r="P14" s="34" t="s">
        <v>12</v>
      </c>
      <c r="Q14" s="35" t="s">
        <v>12</v>
      </c>
      <c r="R14" s="36">
        <f>SUMIF($C$2:$C$406,"=i13",$E$2:$E$406)</f>
        <v>0</v>
      </c>
      <c r="S14" s="36">
        <f>SUMIF($C$2:$C$406,"=i13",$F$2:$F$406)</f>
        <v>0</v>
      </c>
      <c r="U14" s="37" t="s">
        <v>12</v>
      </c>
      <c r="V14" s="38" t="s">
        <v>12</v>
      </c>
      <c r="W14" s="39" t="s">
        <v>12</v>
      </c>
      <c r="X14" s="39" t="s">
        <v>12</v>
      </c>
      <c r="Y14" s="39" t="s">
        <v>12</v>
      </c>
      <c r="Z14" s="7"/>
      <c r="AA14" s="37">
        <f>' Community Program Expenses'!G14</f>
        <v>0</v>
      </c>
      <c r="AB14" s="40">
        <f>' Community Program Expenses'!H14</f>
        <v>0</v>
      </c>
      <c r="AC14" s="39" t="s">
        <v>12</v>
      </c>
      <c r="AD14" s="39">
        <f>' Community Program Expenses'!M14</f>
        <v>0</v>
      </c>
      <c r="AE14" s="39" t="e">
        <f>' Community Program Expenses'!#REF!</f>
        <v>#REF!</v>
      </c>
      <c r="AF14" s="7"/>
      <c r="AG14" s="37" t="s">
        <v>12</v>
      </c>
      <c r="AH14" s="40" t="s">
        <v>12</v>
      </c>
      <c r="AI14" s="39" t="s">
        <v>12</v>
      </c>
      <c r="AJ14" s="39" t="s">
        <v>12</v>
      </c>
      <c r="AK14" s="39" t="s">
        <v>12</v>
      </c>
      <c r="AL14" s="7"/>
      <c r="AM14" s="37" t="s">
        <v>12</v>
      </c>
      <c r="AN14" s="40" t="s">
        <v>12</v>
      </c>
      <c r="AO14" s="41" t="s">
        <v>12</v>
      </c>
      <c r="AP14" s="41" t="s">
        <v>12</v>
      </c>
      <c r="AQ14" s="41" t="s">
        <v>12</v>
      </c>
      <c r="AR14" s="7"/>
      <c r="AS14" s="42" t="s">
        <v>12</v>
      </c>
      <c r="AT14" s="41" t="s">
        <v>12</v>
      </c>
      <c r="AU14" s="41" t="s">
        <v>12</v>
      </c>
      <c r="AV14" s="41" t="s">
        <v>12</v>
      </c>
      <c r="AW14" s="41" t="s">
        <v>12</v>
      </c>
    </row>
    <row r="15" spans="1:49" x14ac:dyDescent="0.2">
      <c r="A15" s="44"/>
      <c r="B15" s="44"/>
      <c r="C15" s="28">
        <v>43467</v>
      </c>
      <c r="D15" s="47" t="s">
        <v>44</v>
      </c>
      <c r="E15" s="48" t="s">
        <v>45</v>
      </c>
      <c r="F15" s="11"/>
      <c r="G15" s="46">
        <v>0</v>
      </c>
      <c r="H15" s="30">
        <v>48.93</v>
      </c>
      <c r="I15" s="31"/>
      <c r="J15" s="43" t="s">
        <v>46</v>
      </c>
      <c r="K15" s="16">
        <v>2000</v>
      </c>
      <c r="M15" s="31"/>
      <c r="O15" s="33" t="s">
        <v>12</v>
      </c>
      <c r="P15" s="34" t="s">
        <v>12</v>
      </c>
      <c r="Q15" s="35" t="s">
        <v>12</v>
      </c>
      <c r="R15" s="36">
        <f>H33</f>
        <v>627</v>
      </c>
      <c r="S15" s="36">
        <f>SUMIF($C$2:$C$406,"=i14",$F$2:$F$406)</f>
        <v>0</v>
      </c>
      <c r="U15" s="37" t="s">
        <v>12</v>
      </c>
      <c r="V15" s="38" t="s">
        <v>12</v>
      </c>
      <c r="W15" s="39" t="s">
        <v>12</v>
      </c>
      <c r="X15" s="39" t="s">
        <v>12</v>
      </c>
      <c r="Y15" s="39" t="s">
        <v>12</v>
      </c>
      <c r="Z15" s="7"/>
      <c r="AA15" s="37" t="s">
        <v>12</v>
      </c>
      <c r="AB15" s="40" t="s">
        <v>12</v>
      </c>
      <c r="AC15" s="39" t="s">
        <v>12</v>
      </c>
      <c r="AD15" s="39" t="s">
        <v>12</v>
      </c>
      <c r="AE15" s="39" t="s">
        <v>12</v>
      </c>
      <c r="AF15" s="7"/>
      <c r="AG15" s="37" t="s">
        <v>12</v>
      </c>
      <c r="AH15" s="40" t="s">
        <v>12</v>
      </c>
      <c r="AI15" s="39" t="s">
        <v>12</v>
      </c>
      <c r="AJ15" s="39" t="s">
        <v>12</v>
      </c>
      <c r="AK15" s="39" t="s">
        <v>12</v>
      </c>
      <c r="AL15" s="7"/>
      <c r="AM15" s="37" t="s">
        <v>12</v>
      </c>
      <c r="AN15" s="40" t="s">
        <v>12</v>
      </c>
      <c r="AO15" s="41" t="s">
        <v>12</v>
      </c>
      <c r="AP15" s="41" t="s">
        <v>12</v>
      </c>
      <c r="AQ15" s="41" t="s">
        <v>12</v>
      </c>
      <c r="AR15" s="7"/>
      <c r="AS15" s="42" t="s">
        <v>12</v>
      </c>
      <c r="AT15" s="41" t="s">
        <v>12</v>
      </c>
      <c r="AU15" s="41" t="s">
        <v>12</v>
      </c>
      <c r="AV15" s="41" t="s">
        <v>12</v>
      </c>
      <c r="AW15" s="41" t="s">
        <v>12</v>
      </c>
    </row>
    <row r="16" spans="1:49" x14ac:dyDescent="0.2">
      <c r="A16" s="44"/>
      <c r="B16" s="44"/>
      <c r="C16" s="28">
        <v>43467</v>
      </c>
      <c r="D16" s="47" t="s">
        <v>47</v>
      </c>
      <c r="E16" s="45" t="s">
        <v>48</v>
      </c>
      <c r="F16" s="11"/>
      <c r="G16" s="46">
        <v>0</v>
      </c>
      <c r="H16" s="30">
        <v>4442</v>
      </c>
      <c r="I16" s="31"/>
      <c r="J16" s="32" t="s">
        <v>49</v>
      </c>
      <c r="K16" s="16">
        <v>2000</v>
      </c>
      <c r="M16" s="31"/>
      <c r="O16" s="33" t="s">
        <v>12</v>
      </c>
      <c r="P16" s="34" t="s">
        <v>12</v>
      </c>
      <c r="Q16" s="35" t="s">
        <v>12</v>
      </c>
      <c r="R16" s="36">
        <f>SUMIF($C$2:$C$406,"=i15",$E$2:$E$406)</f>
        <v>0</v>
      </c>
      <c r="S16" s="36">
        <f>SUMIF($C$2:$C$406,"=i15",$F$2:$F$406)</f>
        <v>0</v>
      </c>
      <c r="U16" s="37" t="s">
        <v>12</v>
      </c>
      <c r="V16" s="38" t="s">
        <v>12</v>
      </c>
      <c r="W16" s="39" t="s">
        <v>12</v>
      </c>
      <c r="X16" s="39" t="s">
        <v>12</v>
      </c>
      <c r="Y16" s="39" t="s">
        <v>12</v>
      </c>
      <c r="Z16" s="7"/>
      <c r="AA16" s="37" t="s">
        <v>12</v>
      </c>
      <c r="AB16" s="40" t="s">
        <v>12</v>
      </c>
      <c r="AC16" s="39" t="s">
        <v>12</v>
      </c>
      <c r="AD16" s="39" t="s">
        <v>12</v>
      </c>
      <c r="AE16" s="39" t="s">
        <v>12</v>
      </c>
      <c r="AF16" s="7"/>
      <c r="AG16" s="37" t="s">
        <v>12</v>
      </c>
      <c r="AH16" s="40" t="s">
        <v>12</v>
      </c>
      <c r="AI16" s="39" t="s">
        <v>12</v>
      </c>
      <c r="AJ16" s="39" t="s">
        <v>12</v>
      </c>
      <c r="AK16" s="39" t="s">
        <v>12</v>
      </c>
      <c r="AM16" s="37"/>
      <c r="AN16" s="44" t="s">
        <v>50</v>
      </c>
      <c r="AO16" s="44"/>
      <c r="AP16" s="44"/>
      <c r="AQ16" s="49">
        <f>SUM(AQ2:AQ15)</f>
        <v>0</v>
      </c>
      <c r="AR16" s="7"/>
      <c r="AS16" s="42" t="s">
        <v>12</v>
      </c>
      <c r="AT16" s="41" t="s">
        <v>12</v>
      </c>
      <c r="AU16" s="41" t="s">
        <v>12</v>
      </c>
      <c r="AV16" s="41" t="s">
        <v>12</v>
      </c>
      <c r="AW16" s="41" t="s">
        <v>12</v>
      </c>
    </row>
    <row r="17" spans="1:49" x14ac:dyDescent="0.2">
      <c r="A17" s="11"/>
      <c r="B17" s="12">
        <v>7398</v>
      </c>
      <c r="C17" s="13">
        <v>43467</v>
      </c>
      <c r="D17" s="29" t="s">
        <v>51</v>
      </c>
      <c r="E17" s="15" t="s">
        <v>52</v>
      </c>
      <c r="F17" s="15"/>
      <c r="G17" s="4">
        <v>93.7</v>
      </c>
      <c r="H17" s="4">
        <v>0</v>
      </c>
      <c r="I17" s="31"/>
      <c r="J17" s="43" t="s">
        <v>53</v>
      </c>
      <c r="K17" s="16">
        <v>2000</v>
      </c>
      <c r="M17" s="31"/>
      <c r="O17" s="33" t="s">
        <v>12</v>
      </c>
      <c r="P17" s="34" t="s">
        <v>12</v>
      </c>
      <c r="Q17" s="35" t="s">
        <v>12</v>
      </c>
      <c r="R17" s="36">
        <f>SUMIF($C$2:$C$406,"=i15a",$E$2:$E$406)</f>
        <v>0</v>
      </c>
      <c r="S17" s="36">
        <f>SUMIF($C$2:$C$406,"=i15a",$F$2:$F$406)</f>
        <v>0</v>
      </c>
      <c r="U17" s="37" t="s">
        <v>12</v>
      </c>
      <c r="V17" s="38" t="s">
        <v>12</v>
      </c>
      <c r="W17" s="39" t="s">
        <v>12</v>
      </c>
      <c r="X17" s="39" t="s">
        <v>12</v>
      </c>
      <c r="Y17" s="39" t="s">
        <v>12</v>
      </c>
      <c r="Z17" s="7"/>
      <c r="AA17" s="37" t="s">
        <v>12</v>
      </c>
      <c r="AB17" s="40" t="s">
        <v>12</v>
      </c>
      <c r="AC17" s="39" t="s">
        <v>12</v>
      </c>
      <c r="AD17" s="39" t="s">
        <v>12</v>
      </c>
      <c r="AE17" s="39" t="s">
        <v>12</v>
      </c>
      <c r="AG17" s="37" t="s">
        <v>12</v>
      </c>
      <c r="AH17" s="40" t="s">
        <v>12</v>
      </c>
      <c r="AI17" s="39" t="s">
        <v>12</v>
      </c>
      <c r="AJ17" s="39" t="s">
        <v>12</v>
      </c>
      <c r="AK17" s="39" t="s">
        <v>12</v>
      </c>
      <c r="AM17" s="37"/>
      <c r="AP17" s="44"/>
      <c r="AQ17" s="44"/>
      <c r="AR17" s="7"/>
      <c r="AS17" s="42" t="s">
        <v>12</v>
      </c>
      <c r="AT17" s="41" t="s">
        <v>12</v>
      </c>
      <c r="AU17" s="41" t="s">
        <v>12</v>
      </c>
      <c r="AV17" s="41" t="s">
        <v>12</v>
      </c>
      <c r="AW17" s="41" t="s">
        <v>12</v>
      </c>
    </row>
    <row r="18" spans="1:49" x14ac:dyDescent="0.2">
      <c r="A18" s="11"/>
      <c r="B18" s="12">
        <v>7400</v>
      </c>
      <c r="C18" s="28">
        <v>43467</v>
      </c>
      <c r="D18" s="29" t="s">
        <v>54</v>
      </c>
      <c r="E18" s="15" t="s">
        <v>55</v>
      </c>
      <c r="F18" s="11"/>
      <c r="G18" s="4">
        <v>765.56</v>
      </c>
      <c r="H18" s="30"/>
      <c r="I18" s="31"/>
      <c r="J18" s="32" t="s">
        <v>56</v>
      </c>
      <c r="K18" s="16">
        <v>1000</v>
      </c>
      <c r="M18" s="31"/>
      <c r="O18" s="33" t="s">
        <v>12</v>
      </c>
      <c r="P18" s="34" t="s">
        <v>12</v>
      </c>
      <c r="Q18" s="35" t="s">
        <v>12</v>
      </c>
      <c r="R18" s="36">
        <f>H35</f>
        <v>0</v>
      </c>
      <c r="S18" s="36">
        <f>SUMIF($C$2:$C$406,"=i16",$F$2:$F$406)</f>
        <v>0</v>
      </c>
      <c r="U18" s="37" t="s">
        <v>12</v>
      </c>
      <c r="V18" s="38" t="s">
        <v>12</v>
      </c>
      <c r="W18" s="39" t="s">
        <v>12</v>
      </c>
      <c r="X18" s="39" t="s">
        <v>12</v>
      </c>
      <c r="Y18" s="39" t="s">
        <v>12</v>
      </c>
      <c r="Z18" s="7"/>
      <c r="AA18" s="37">
        <f>' Community Program Expenses'!G16</f>
        <v>0</v>
      </c>
      <c r="AB18" s="40">
        <f>' Community Program Expenses'!H16</f>
        <v>0</v>
      </c>
      <c r="AC18" s="39" t="s">
        <v>12</v>
      </c>
      <c r="AD18" s="39">
        <f>' Community Program Expenses'!M16</f>
        <v>0</v>
      </c>
      <c r="AE18" s="39">
        <f>' Community Program Expenses'!N16</f>
        <v>0</v>
      </c>
      <c r="AG18" s="37"/>
      <c r="AH18" s="44" t="s">
        <v>50</v>
      </c>
      <c r="AI18" s="44"/>
      <c r="AJ18" s="44"/>
      <c r="AK18" s="49">
        <f>SUM(AK2:AK17)</f>
        <v>0</v>
      </c>
      <c r="AS18" s="37"/>
      <c r="AT18" s="44" t="s">
        <v>50</v>
      </c>
      <c r="AU18" s="44"/>
      <c r="AV18" s="44"/>
      <c r="AW18" s="49">
        <f>SUM(AW2:AW17)</f>
        <v>0</v>
      </c>
    </row>
    <row r="19" spans="1:49" x14ac:dyDescent="0.2">
      <c r="A19" s="11"/>
      <c r="B19" s="12">
        <v>7399</v>
      </c>
      <c r="C19" s="13">
        <v>43467</v>
      </c>
      <c r="D19" s="14" t="s">
        <v>57</v>
      </c>
      <c r="E19" s="15" t="s">
        <v>58</v>
      </c>
      <c r="F19" s="15"/>
      <c r="G19" s="4">
        <v>609.64</v>
      </c>
      <c r="H19" s="4">
        <v>0</v>
      </c>
      <c r="I19" s="31"/>
      <c r="J19" s="43" t="s">
        <v>59</v>
      </c>
      <c r="K19" s="16">
        <v>1000</v>
      </c>
      <c r="M19" s="31"/>
      <c r="O19" s="33" t="s">
        <v>12</v>
      </c>
      <c r="P19" s="34" t="s">
        <v>12</v>
      </c>
      <c r="Q19" s="35" t="s">
        <v>12</v>
      </c>
      <c r="R19" s="36">
        <f>H37</f>
        <v>0</v>
      </c>
      <c r="S19" s="36">
        <f>SUMIF($C$2:$C$406,"=i17",$F$2:$F$406)</f>
        <v>0</v>
      </c>
      <c r="U19" s="37" t="s">
        <v>12</v>
      </c>
      <c r="V19" s="38" t="s">
        <v>12</v>
      </c>
      <c r="W19" s="39" t="s">
        <v>12</v>
      </c>
      <c r="X19" s="39" t="s">
        <v>12</v>
      </c>
      <c r="Y19" s="39" t="s">
        <v>12</v>
      </c>
      <c r="Z19" s="7"/>
      <c r="AA19" s="37">
        <f>' Community Program Expenses'!G17</f>
        <v>0</v>
      </c>
      <c r="AB19" s="40">
        <f>' Community Program Expenses'!H17</f>
        <v>0</v>
      </c>
      <c r="AC19" s="39" t="s">
        <v>12</v>
      </c>
      <c r="AD19" s="39">
        <f>' Community Program Expenses'!M17</f>
        <v>0</v>
      </c>
      <c r="AE19" s="39" t="e">
        <f>' Community Program Expenses'!#REF!</f>
        <v>#REF!</v>
      </c>
      <c r="AH19" s="50"/>
    </row>
    <row r="20" spans="1:49" x14ac:dyDescent="0.2">
      <c r="A20" s="11"/>
      <c r="B20" s="12">
        <v>7402</v>
      </c>
      <c r="C20" s="28">
        <v>43467</v>
      </c>
      <c r="D20" s="29" t="s">
        <v>60</v>
      </c>
      <c r="E20" s="15" t="s">
        <v>45</v>
      </c>
      <c r="F20" s="11"/>
      <c r="G20" s="4">
        <v>96.93</v>
      </c>
      <c r="H20" s="30"/>
      <c r="I20" s="31"/>
      <c r="J20" s="32" t="s">
        <v>61</v>
      </c>
      <c r="K20" s="16">
        <v>297.37</v>
      </c>
      <c r="M20" s="31"/>
      <c r="O20" s="33" t="s">
        <v>12</v>
      </c>
      <c r="P20" s="34" t="s">
        <v>12</v>
      </c>
      <c r="Q20" s="35" t="s">
        <v>12</v>
      </c>
      <c r="R20" s="36">
        <f>H39</f>
        <v>0</v>
      </c>
      <c r="S20" s="36">
        <f>SUMIF($C$2:$C$406,"=i18",$F$2:$F$406)</f>
        <v>0</v>
      </c>
      <c r="U20" s="37" t="s">
        <v>12</v>
      </c>
      <c r="V20" s="38" t="s">
        <v>12</v>
      </c>
      <c r="W20" s="39" t="s">
        <v>12</v>
      </c>
      <c r="X20" s="39" t="s">
        <v>12</v>
      </c>
      <c r="Y20" s="39" t="s">
        <v>12</v>
      </c>
      <c r="Z20" s="7"/>
      <c r="AA20" s="37" t="s">
        <v>12</v>
      </c>
      <c r="AB20" s="40" t="s">
        <v>12</v>
      </c>
      <c r="AC20" s="39" t="s">
        <v>12</v>
      </c>
      <c r="AD20" s="39" t="s">
        <v>12</v>
      </c>
      <c r="AE20" s="39" t="s">
        <v>12</v>
      </c>
      <c r="AH20" s="50"/>
    </row>
    <row r="21" spans="1:49" x14ac:dyDescent="0.2">
      <c r="A21" s="11"/>
      <c r="B21" s="12">
        <v>7405</v>
      </c>
      <c r="C21" s="28">
        <v>43480</v>
      </c>
      <c r="D21" s="14" t="s">
        <v>16</v>
      </c>
      <c r="E21" s="15" t="s">
        <v>17</v>
      </c>
      <c r="F21" s="11"/>
      <c r="G21" s="4">
        <v>340.73</v>
      </c>
      <c r="H21" s="30"/>
      <c r="I21" s="31"/>
      <c r="J21" s="43" t="s">
        <v>62</v>
      </c>
      <c r="K21" s="16">
        <v>80.42</v>
      </c>
      <c r="M21" s="31"/>
      <c r="O21" s="33" t="s">
        <v>12</v>
      </c>
      <c r="P21" s="34" t="s">
        <v>12</v>
      </c>
      <c r="Q21" s="35" t="s">
        <v>12</v>
      </c>
      <c r="R21" s="36">
        <f>H41</f>
        <v>0</v>
      </c>
      <c r="S21" s="36">
        <f>SUMIF($C$2:$C$406,"=i19",$F$2:$F$406)</f>
        <v>0</v>
      </c>
      <c r="U21" s="37" t="s">
        <v>12</v>
      </c>
      <c r="V21" s="38" t="s">
        <v>12</v>
      </c>
      <c r="W21" s="39" t="s">
        <v>12</v>
      </c>
      <c r="X21" s="39" t="s">
        <v>12</v>
      </c>
      <c r="Y21" s="39" t="s">
        <v>12</v>
      </c>
      <c r="Z21" s="7"/>
      <c r="AA21" s="37">
        <f>' Community Program Expenses'!G18</f>
        <v>0</v>
      </c>
      <c r="AB21" s="40">
        <f>' Community Program Expenses'!H18</f>
        <v>0</v>
      </c>
      <c r="AC21" s="39" t="s">
        <v>12</v>
      </c>
      <c r="AD21" s="39">
        <f>' Community Program Expenses'!M18</f>
        <v>0</v>
      </c>
      <c r="AE21" s="39">
        <f>' Community Program Expenses'!N18</f>
        <v>0</v>
      </c>
      <c r="AH21" s="50"/>
    </row>
    <row r="22" spans="1:49" x14ac:dyDescent="0.2">
      <c r="A22" s="11"/>
      <c r="B22" s="11">
        <v>7406</v>
      </c>
      <c r="C22" s="28">
        <v>43480</v>
      </c>
      <c r="D22" s="29" t="s">
        <v>63</v>
      </c>
      <c r="E22" s="11" t="s">
        <v>64</v>
      </c>
      <c r="F22" s="11"/>
      <c r="G22" s="4">
        <v>391</v>
      </c>
      <c r="H22" s="30"/>
      <c r="I22" s="31"/>
      <c r="J22" s="43" t="s">
        <v>65</v>
      </c>
      <c r="K22" s="16">
        <v>62.43</v>
      </c>
      <c r="M22" s="31"/>
      <c r="O22" s="33" t="s">
        <v>12</v>
      </c>
      <c r="P22" s="34" t="s">
        <v>12</v>
      </c>
      <c r="Q22" s="35" t="s">
        <v>12</v>
      </c>
      <c r="R22" s="36">
        <f>SUMIF($C$2:$C$406,"=i20",$E$2:$E$406)</f>
        <v>0</v>
      </c>
      <c r="S22" s="36">
        <f>SUMIF($C$2:$C$406,"=i20",$F$2:$F$406)</f>
        <v>0</v>
      </c>
      <c r="U22" s="37" t="s">
        <v>12</v>
      </c>
      <c r="V22" s="38" t="s">
        <v>12</v>
      </c>
      <c r="W22" s="51" t="s">
        <v>12</v>
      </c>
      <c r="X22" s="51" t="s">
        <v>12</v>
      </c>
      <c r="Y22" s="51" t="s">
        <v>12</v>
      </c>
      <c r="Z22" s="7"/>
      <c r="AA22" s="37" t="s">
        <v>12</v>
      </c>
      <c r="AB22" s="40" t="s">
        <v>12</v>
      </c>
      <c r="AC22" s="39" t="s">
        <v>12</v>
      </c>
      <c r="AD22" s="39" t="s">
        <v>12</v>
      </c>
      <c r="AE22" s="39" t="s">
        <v>12</v>
      </c>
      <c r="AH22" s="50"/>
    </row>
    <row r="23" spans="1:49" x14ac:dyDescent="0.2">
      <c r="A23" s="44"/>
      <c r="B23" s="44"/>
      <c r="C23" s="28">
        <v>43480</v>
      </c>
      <c r="D23" s="14" t="s">
        <v>20</v>
      </c>
      <c r="E23" s="11" t="s">
        <v>21</v>
      </c>
      <c r="F23" s="11"/>
      <c r="G23" s="46">
        <v>0</v>
      </c>
      <c r="H23" s="30">
        <v>1188.6199999999999</v>
      </c>
      <c r="I23" s="31"/>
      <c r="J23" s="43" t="s">
        <v>66</v>
      </c>
      <c r="K23" s="16">
        <v>154.52000000000001</v>
      </c>
      <c r="M23" s="31"/>
      <c r="O23" s="33" t="s">
        <v>12</v>
      </c>
      <c r="P23" s="34" t="s">
        <v>12</v>
      </c>
      <c r="Q23" s="35" t="s">
        <v>12</v>
      </c>
      <c r="R23" s="36">
        <f>H48</f>
        <v>45</v>
      </c>
      <c r="S23" s="36">
        <f>SUMIF($C$2:$C$406,"=i21",$F$2:$F$406)</f>
        <v>0</v>
      </c>
      <c r="U23" s="37" t="s">
        <v>12</v>
      </c>
      <c r="V23" s="38" t="s">
        <v>12</v>
      </c>
      <c r="W23" s="51" t="s">
        <v>12</v>
      </c>
      <c r="X23" s="51" t="s">
        <v>12</v>
      </c>
      <c r="Y23" s="51" t="s">
        <v>12</v>
      </c>
      <c r="Z23" s="7"/>
      <c r="AA23" s="37" t="s">
        <v>12</v>
      </c>
      <c r="AB23" s="40" t="s">
        <v>12</v>
      </c>
      <c r="AC23" s="39" t="s">
        <v>12</v>
      </c>
      <c r="AD23" s="39" t="s">
        <v>12</v>
      </c>
      <c r="AE23" s="39" t="s">
        <v>12</v>
      </c>
      <c r="AH23" s="50"/>
    </row>
    <row r="24" spans="1:49" x14ac:dyDescent="0.2">
      <c r="A24" s="44"/>
      <c r="B24" s="44"/>
      <c r="C24" s="28">
        <v>43480</v>
      </c>
      <c r="D24" s="14" t="s">
        <v>23</v>
      </c>
      <c r="E24" s="11" t="s">
        <v>67</v>
      </c>
      <c r="F24" s="11"/>
      <c r="G24" s="46">
        <v>0</v>
      </c>
      <c r="H24" s="30">
        <v>851</v>
      </c>
      <c r="I24" s="31"/>
      <c r="J24" s="32" t="s">
        <v>68</v>
      </c>
      <c r="K24" s="16">
        <v>13883.94</v>
      </c>
      <c r="M24" s="31"/>
      <c r="O24" s="33" t="s">
        <v>12</v>
      </c>
      <c r="P24" s="34" t="s">
        <v>12</v>
      </c>
      <c r="Q24" s="35" t="s">
        <v>12</v>
      </c>
      <c r="R24" s="36">
        <f>H50</f>
        <v>48.32</v>
      </c>
      <c r="S24" s="36">
        <f>SUMIF($C$2:$C$406,"=i22",$F$2:$F$406)</f>
        <v>0</v>
      </c>
      <c r="U24" s="37" t="s">
        <v>12</v>
      </c>
      <c r="V24" s="38" t="s">
        <v>12</v>
      </c>
      <c r="W24" s="51" t="s">
        <v>12</v>
      </c>
      <c r="X24" s="51" t="s">
        <v>12</v>
      </c>
      <c r="Y24" s="51" t="s">
        <v>12</v>
      </c>
      <c r="AA24" s="37"/>
      <c r="AB24" s="44" t="s">
        <v>50</v>
      </c>
      <c r="AC24" s="44"/>
      <c r="AD24" s="44"/>
      <c r="AE24" s="49" t="e">
        <f>SUM(AE2:AE23)</f>
        <v>#REF!</v>
      </c>
      <c r="AH24" s="50"/>
    </row>
    <row r="25" spans="1:49" x14ac:dyDescent="0.2">
      <c r="A25" s="44"/>
      <c r="B25" s="44"/>
      <c r="C25" s="28">
        <v>43480</v>
      </c>
      <c r="D25" s="27" t="s">
        <v>69</v>
      </c>
      <c r="E25" s="52" t="s">
        <v>70</v>
      </c>
      <c r="F25" s="11"/>
      <c r="G25" s="46">
        <v>0</v>
      </c>
      <c r="H25" s="30">
        <v>738</v>
      </c>
      <c r="I25" s="31"/>
      <c r="J25" s="43" t="s">
        <v>71</v>
      </c>
      <c r="K25" s="16">
        <v>1890.5</v>
      </c>
      <c r="M25" s="31"/>
      <c r="O25" s="33" t="s">
        <v>12</v>
      </c>
      <c r="P25" s="34" t="s">
        <v>12</v>
      </c>
      <c r="Q25" s="35" t="s">
        <v>12</v>
      </c>
      <c r="R25" s="36">
        <f>H52</f>
        <v>0</v>
      </c>
      <c r="S25" s="36">
        <f>SUMIF($C$2:$C$406,"=i23",$F$2:$F$406)</f>
        <v>0</v>
      </c>
      <c r="U25" s="37" t="s">
        <v>12</v>
      </c>
      <c r="V25" s="38" t="s">
        <v>12</v>
      </c>
      <c r="W25" s="51" t="s">
        <v>12</v>
      </c>
      <c r="X25" s="51" t="s">
        <v>12</v>
      </c>
      <c r="Y25" s="51" t="s">
        <v>12</v>
      </c>
      <c r="AB25" s="50"/>
      <c r="AH25" s="50"/>
    </row>
    <row r="26" spans="1:49" x14ac:dyDescent="0.2">
      <c r="A26" s="44"/>
      <c r="B26" s="44"/>
      <c r="C26" s="28">
        <v>43480</v>
      </c>
      <c r="D26" s="14" t="s">
        <v>28</v>
      </c>
      <c r="E26" s="11" t="s">
        <v>31</v>
      </c>
      <c r="F26" s="11"/>
      <c r="G26" s="46">
        <v>0</v>
      </c>
      <c r="H26" s="30">
        <v>116.15</v>
      </c>
      <c r="I26" s="31"/>
      <c r="J26" s="43" t="s">
        <v>72</v>
      </c>
      <c r="K26" s="16">
        <v>4379.99</v>
      </c>
      <c r="M26" s="31"/>
      <c r="O26" s="33" t="s">
        <v>12</v>
      </c>
      <c r="P26" s="34" t="s">
        <v>12</v>
      </c>
      <c r="Q26" s="35" t="s">
        <v>12</v>
      </c>
      <c r="R26" s="36">
        <f>H59</f>
        <v>0</v>
      </c>
      <c r="S26" s="36">
        <f>SUMIF($C$2:$C$406,"=i24",$F$2:$F$406)</f>
        <v>0</v>
      </c>
      <c r="U26" s="37" t="s">
        <v>12</v>
      </c>
      <c r="V26" s="38" t="s">
        <v>12</v>
      </c>
      <c r="W26" s="51" t="s">
        <v>12</v>
      </c>
      <c r="X26" s="51" t="s">
        <v>12</v>
      </c>
      <c r="Y26" s="51" t="s">
        <v>12</v>
      </c>
      <c r="AB26" s="50"/>
      <c r="AH26" s="50"/>
    </row>
    <row r="27" spans="1:49" x14ac:dyDescent="0.2">
      <c r="A27" s="44"/>
      <c r="B27" s="44"/>
      <c r="C27" s="28">
        <v>43480</v>
      </c>
      <c r="D27" s="14" t="s">
        <v>39</v>
      </c>
      <c r="E27" s="15" t="s">
        <v>73</v>
      </c>
      <c r="F27" s="11"/>
      <c r="G27" s="4">
        <v>0</v>
      </c>
      <c r="H27" s="4">
        <v>155.41</v>
      </c>
      <c r="I27" s="31"/>
      <c r="J27" s="43" t="s">
        <v>74</v>
      </c>
      <c r="K27" s="16">
        <v>1442.86</v>
      </c>
      <c r="M27" s="31"/>
      <c r="O27" s="33" t="s">
        <v>12</v>
      </c>
      <c r="P27" s="34" t="s">
        <v>12</v>
      </c>
      <c r="Q27" s="35" t="s">
        <v>12</v>
      </c>
      <c r="R27" s="36">
        <f>SUMIF($C$2:$C$406,"=i25",$E$2:$E$406)</f>
        <v>0</v>
      </c>
      <c r="S27" s="36">
        <f>SUMIF($C$2:$C$406,"=i25",$F$2:$F$406)</f>
        <v>0</v>
      </c>
      <c r="U27" s="37" t="s">
        <v>12</v>
      </c>
      <c r="V27" s="38" t="s">
        <v>12</v>
      </c>
      <c r="W27" s="51" t="s">
        <v>12</v>
      </c>
      <c r="X27" s="51" t="s">
        <v>12</v>
      </c>
      <c r="Y27" s="51" t="s">
        <v>12</v>
      </c>
      <c r="AB27" s="50"/>
      <c r="AH27" s="50"/>
    </row>
    <row r="28" spans="1:49" x14ac:dyDescent="0.2">
      <c r="A28" s="44"/>
      <c r="B28" s="44"/>
      <c r="C28" s="28">
        <v>43480</v>
      </c>
      <c r="D28" s="14" t="s">
        <v>39</v>
      </c>
      <c r="E28" s="15" t="s">
        <v>75</v>
      </c>
      <c r="F28" s="11"/>
      <c r="G28" s="4">
        <v>0</v>
      </c>
      <c r="H28" s="4">
        <v>100</v>
      </c>
      <c r="I28" s="31"/>
      <c r="J28" s="43" t="s">
        <v>76</v>
      </c>
      <c r="K28" s="16">
        <v>6170.59</v>
      </c>
      <c r="M28" s="31"/>
      <c r="O28" s="33" t="s">
        <v>12</v>
      </c>
      <c r="P28" s="34" t="s">
        <v>12</v>
      </c>
      <c r="Q28" s="35" t="s">
        <v>12</v>
      </c>
      <c r="R28" s="36">
        <f>SUMIF($C$2:$C$406,"=i26",$E$2:$E$406)</f>
        <v>0</v>
      </c>
      <c r="S28" s="36">
        <f>SUMIF($C$2:$C$406,"=i26",$F$2:$F$406)</f>
        <v>0</v>
      </c>
      <c r="U28" s="37" t="s">
        <v>12</v>
      </c>
      <c r="V28" s="38" t="s">
        <v>12</v>
      </c>
      <c r="W28" s="51" t="s">
        <v>12</v>
      </c>
      <c r="X28" s="51" t="s">
        <v>12</v>
      </c>
      <c r="Y28" s="51" t="s">
        <v>12</v>
      </c>
      <c r="AB28" s="50"/>
      <c r="AH28" s="50"/>
    </row>
    <row r="29" spans="1:49" ht="15" x14ac:dyDescent="0.25">
      <c r="A29" s="44"/>
      <c r="B29" s="44"/>
      <c r="C29" s="28">
        <v>43480</v>
      </c>
      <c r="D29" s="14" t="s">
        <v>39</v>
      </c>
      <c r="E29" s="15" t="s">
        <v>73</v>
      </c>
      <c r="F29" s="11"/>
      <c r="G29" s="4"/>
      <c r="H29" s="53">
        <v>24.31</v>
      </c>
      <c r="I29" s="31"/>
      <c r="J29" s="32" t="s">
        <v>77</v>
      </c>
      <c r="K29" s="16">
        <v>202.8</v>
      </c>
      <c r="M29" s="31"/>
      <c r="O29" s="33" t="s">
        <v>12</v>
      </c>
      <c r="P29" s="34" t="s">
        <v>12</v>
      </c>
      <c r="Q29" s="35" t="s">
        <v>12</v>
      </c>
      <c r="R29" s="36">
        <f>H61</f>
        <v>0</v>
      </c>
      <c r="S29" s="36">
        <f>SUMIF($C$2:$C$406,"=i27",$F$2:$F$406)</f>
        <v>0</v>
      </c>
      <c r="U29" s="37" t="s">
        <v>12</v>
      </c>
      <c r="V29" s="38" t="s">
        <v>12</v>
      </c>
      <c r="W29" s="51" t="s">
        <v>12</v>
      </c>
      <c r="X29" s="51" t="s">
        <v>12</v>
      </c>
      <c r="Y29" s="51" t="s">
        <v>12</v>
      </c>
      <c r="AB29" s="50"/>
      <c r="AH29" s="50"/>
    </row>
    <row r="30" spans="1:49" ht="15" x14ac:dyDescent="0.25">
      <c r="A30" s="44"/>
      <c r="B30" s="44"/>
      <c r="C30" s="28">
        <v>43480</v>
      </c>
      <c r="D30" s="14" t="s">
        <v>39</v>
      </c>
      <c r="E30" s="15" t="s">
        <v>73</v>
      </c>
      <c r="F30" s="11"/>
      <c r="G30" s="4"/>
      <c r="H30" s="53">
        <v>131.1</v>
      </c>
      <c r="I30" s="31"/>
      <c r="J30" s="43" t="s">
        <v>78</v>
      </c>
      <c r="K30" s="16">
        <v>202.8</v>
      </c>
      <c r="M30" s="31"/>
      <c r="O30" s="33"/>
      <c r="P30" s="34" t="s">
        <v>50</v>
      </c>
      <c r="Q30" s="35"/>
      <c r="R30" s="49">
        <f>SUM(R2:R29)</f>
        <v>1964.35</v>
      </c>
      <c r="S30" s="49">
        <f>SUM(S2:S29)</f>
        <v>0</v>
      </c>
      <c r="U30" s="37" t="s">
        <v>12</v>
      </c>
      <c r="V30" s="38" t="s">
        <v>12</v>
      </c>
      <c r="W30" s="51" t="s">
        <v>12</v>
      </c>
      <c r="X30" s="51" t="s">
        <v>12</v>
      </c>
      <c r="Y30" s="51" t="s">
        <v>12</v>
      </c>
      <c r="AB30" s="50"/>
      <c r="AH30" s="50"/>
    </row>
    <row r="31" spans="1:49" x14ac:dyDescent="0.2">
      <c r="A31" s="44"/>
      <c r="B31" s="44"/>
      <c r="C31" s="28">
        <v>43480</v>
      </c>
      <c r="D31" s="14" t="s">
        <v>39</v>
      </c>
      <c r="E31" s="11" t="s">
        <v>40</v>
      </c>
      <c r="F31" s="11"/>
      <c r="G31" s="46">
        <v>0</v>
      </c>
      <c r="H31" s="30">
        <v>186.03</v>
      </c>
      <c r="I31" s="31"/>
      <c r="J31" s="32" t="s">
        <v>79</v>
      </c>
      <c r="K31" s="16">
        <v>1772.31</v>
      </c>
      <c r="M31" s="31"/>
      <c r="P31" s="50" t="s">
        <v>80</v>
      </c>
      <c r="Q31" s="32"/>
      <c r="R31" s="54">
        <f>-(R24+R3+R2)</f>
        <v>-899.32</v>
      </c>
      <c r="U31" s="37" t="s">
        <v>12</v>
      </c>
      <c r="V31" s="38" t="s">
        <v>12</v>
      </c>
      <c r="W31" s="51" t="s">
        <v>12</v>
      </c>
      <c r="X31" s="51" t="s">
        <v>12</v>
      </c>
      <c r="Y31" s="51" t="s">
        <v>12</v>
      </c>
      <c r="AB31" s="50"/>
      <c r="AH31" s="50"/>
    </row>
    <row r="32" spans="1:49" x14ac:dyDescent="0.2">
      <c r="A32" s="44"/>
      <c r="B32" s="44"/>
      <c r="C32" s="28">
        <v>43480</v>
      </c>
      <c r="D32" s="27" t="s">
        <v>81</v>
      </c>
      <c r="E32" s="11" t="s">
        <v>82</v>
      </c>
      <c r="F32" s="11"/>
      <c r="G32" s="46">
        <v>0</v>
      </c>
      <c r="H32" s="30">
        <v>126.84</v>
      </c>
      <c r="I32" s="31"/>
      <c r="J32" s="43" t="s">
        <v>83</v>
      </c>
      <c r="K32" s="16">
        <v>886.18</v>
      </c>
      <c r="M32" s="31"/>
      <c r="P32" s="50"/>
      <c r="Q32" s="32"/>
      <c r="R32" s="54">
        <f>-R10</f>
        <v>-14.59</v>
      </c>
      <c r="U32" s="37" t="s">
        <v>12</v>
      </c>
      <c r="V32" s="38" t="s">
        <v>12</v>
      </c>
      <c r="W32" s="51" t="s">
        <v>12</v>
      </c>
      <c r="X32" s="51" t="s">
        <v>12</v>
      </c>
      <c r="Y32" s="51" t="s">
        <v>12</v>
      </c>
      <c r="AB32" s="50"/>
      <c r="AH32" s="50"/>
    </row>
    <row r="33" spans="1:34" x14ac:dyDescent="0.2">
      <c r="A33" s="44"/>
      <c r="B33" s="44"/>
      <c r="C33" s="28">
        <v>43480</v>
      </c>
      <c r="D33" s="47" t="s">
        <v>47</v>
      </c>
      <c r="E33" s="11" t="s">
        <v>48</v>
      </c>
      <c r="F33" s="11"/>
      <c r="G33" s="46">
        <v>0</v>
      </c>
      <c r="H33" s="30">
        <v>627</v>
      </c>
      <c r="I33" s="31"/>
      <c r="J33" s="43" t="s">
        <v>84</v>
      </c>
      <c r="K33" s="16">
        <v>886.13</v>
      </c>
      <c r="M33" s="31"/>
      <c r="P33" s="50"/>
      <c r="Q33" s="32"/>
      <c r="R33" s="54">
        <v>-3150</v>
      </c>
      <c r="U33" s="37" t="s">
        <v>12</v>
      </c>
      <c r="V33" s="38" t="s">
        <v>12</v>
      </c>
      <c r="W33" s="51" t="s">
        <v>12</v>
      </c>
      <c r="X33" s="51" t="s">
        <v>12</v>
      </c>
      <c r="Y33" s="51" t="s">
        <v>12</v>
      </c>
      <c r="AB33" s="50"/>
      <c r="AH33" s="50"/>
    </row>
    <row r="34" spans="1:34" x14ac:dyDescent="0.2">
      <c r="A34" s="11"/>
      <c r="B34" s="11">
        <v>7409</v>
      </c>
      <c r="C34" s="28">
        <v>43480</v>
      </c>
      <c r="D34" s="14" t="s">
        <v>85</v>
      </c>
      <c r="E34" s="11" t="s">
        <v>86</v>
      </c>
      <c r="F34" s="11"/>
      <c r="G34" s="4">
        <v>46.42</v>
      </c>
      <c r="H34" s="30"/>
      <c r="I34" s="31"/>
      <c r="J34" s="32" t="s">
        <v>87</v>
      </c>
      <c r="K34" s="16">
        <v>400</v>
      </c>
      <c r="M34" s="31"/>
      <c r="P34" s="50"/>
      <c r="R34" s="54">
        <f>SUM(R30:R33)</f>
        <v>-2099.5600000000004</v>
      </c>
      <c r="U34" s="37"/>
      <c r="V34" s="44" t="s">
        <v>50</v>
      </c>
      <c r="W34" s="44"/>
      <c r="X34" s="44"/>
      <c r="Y34" s="49">
        <f>SUM(Y2:Y33)</f>
        <v>0</v>
      </c>
      <c r="AB34" s="50"/>
      <c r="AH34" s="50"/>
    </row>
    <row r="35" spans="1:34" x14ac:dyDescent="0.2">
      <c r="A35" s="11"/>
      <c r="B35" s="11">
        <v>7412</v>
      </c>
      <c r="C35" s="28">
        <v>43480</v>
      </c>
      <c r="D35" s="29" t="s">
        <v>88</v>
      </c>
      <c r="E35" s="11" t="s">
        <v>89</v>
      </c>
      <c r="F35" s="11"/>
      <c r="G35" s="4">
        <v>99</v>
      </c>
      <c r="H35" s="30"/>
      <c r="I35" s="31"/>
      <c r="J35" s="43" t="s">
        <v>90</v>
      </c>
      <c r="K35" s="16">
        <v>400</v>
      </c>
      <c r="M35" s="31"/>
      <c r="P35" s="50"/>
      <c r="R35" s="54">
        <f>R34-R32-R33</f>
        <v>1065.0299999999997</v>
      </c>
      <c r="AB35" s="50"/>
      <c r="AH35" s="50"/>
    </row>
    <row r="36" spans="1:34" x14ac:dyDescent="0.2">
      <c r="A36" s="11"/>
      <c r="B36" s="11">
        <v>7411</v>
      </c>
      <c r="C36" s="28">
        <v>43480</v>
      </c>
      <c r="D36" s="14" t="s">
        <v>91</v>
      </c>
      <c r="E36" s="15" t="s">
        <v>92</v>
      </c>
      <c r="F36" s="11"/>
      <c r="G36" s="4">
        <v>100</v>
      </c>
      <c r="H36" s="30"/>
      <c r="I36" s="31"/>
      <c r="J36" s="32" t="s">
        <v>93</v>
      </c>
      <c r="K36" s="16">
        <v>100</v>
      </c>
      <c r="M36" s="31"/>
    </row>
    <row r="37" spans="1:34" x14ac:dyDescent="0.2">
      <c r="A37" s="11"/>
      <c r="B37" s="11">
        <v>7407</v>
      </c>
      <c r="C37" s="28">
        <v>43480</v>
      </c>
      <c r="D37" s="29" t="s">
        <v>51</v>
      </c>
      <c r="E37" s="11" t="s">
        <v>94</v>
      </c>
      <c r="F37" s="11"/>
      <c r="G37" s="4">
        <v>480</v>
      </c>
      <c r="H37" s="30"/>
      <c r="I37" s="31"/>
      <c r="J37" s="43" t="s">
        <v>95</v>
      </c>
      <c r="K37" s="16">
        <v>100</v>
      </c>
      <c r="M37" s="31"/>
    </row>
    <row r="38" spans="1:34" x14ac:dyDescent="0.2">
      <c r="A38" s="11"/>
      <c r="B38" s="11">
        <v>7408</v>
      </c>
      <c r="C38" s="28">
        <v>43480</v>
      </c>
      <c r="D38" s="29" t="s">
        <v>96</v>
      </c>
      <c r="E38" s="11" t="s">
        <v>97</v>
      </c>
      <c r="F38" s="11"/>
      <c r="G38" s="4">
        <v>195.1</v>
      </c>
      <c r="H38" s="30"/>
      <c r="I38" s="31"/>
      <c r="J38" s="32" t="s">
        <v>98</v>
      </c>
      <c r="K38" s="16">
        <v>9916.8799999999992</v>
      </c>
      <c r="M38" s="31"/>
    </row>
    <row r="39" spans="1:34" x14ac:dyDescent="0.2">
      <c r="A39" s="11"/>
      <c r="B39" s="12">
        <v>7404</v>
      </c>
      <c r="C39" s="28">
        <v>43480</v>
      </c>
      <c r="D39" s="29" t="s">
        <v>60</v>
      </c>
      <c r="E39" s="15" t="s">
        <v>45</v>
      </c>
      <c r="F39" s="11"/>
      <c r="G39" s="4">
        <v>72.930000000000007</v>
      </c>
      <c r="H39" s="30"/>
      <c r="I39" s="31"/>
      <c r="J39" s="43" t="s">
        <v>99</v>
      </c>
      <c r="K39" s="16">
        <v>725.38</v>
      </c>
      <c r="M39" s="31"/>
    </row>
    <row r="40" spans="1:34" x14ac:dyDescent="0.2">
      <c r="A40" s="11"/>
      <c r="B40" s="11">
        <v>7410</v>
      </c>
      <c r="C40" s="28">
        <v>43480</v>
      </c>
      <c r="D40" s="14" t="s">
        <v>100</v>
      </c>
      <c r="E40" s="11" t="s">
        <v>101</v>
      </c>
      <c r="F40" s="11"/>
      <c r="G40" s="4">
        <v>509.77</v>
      </c>
      <c r="H40" s="30"/>
      <c r="I40" s="31"/>
      <c r="J40" s="43" t="s">
        <v>102</v>
      </c>
      <c r="K40" s="16">
        <v>9191.5</v>
      </c>
      <c r="M40" s="31"/>
    </row>
    <row r="41" spans="1:34" x14ac:dyDescent="0.2">
      <c r="A41" s="11"/>
      <c r="B41" s="11">
        <v>7416</v>
      </c>
      <c r="C41" s="28">
        <v>43501</v>
      </c>
      <c r="D41" s="29" t="s">
        <v>13</v>
      </c>
      <c r="E41" s="11" t="s">
        <v>14</v>
      </c>
      <c r="F41" s="11"/>
      <c r="G41" s="4">
        <v>200.15</v>
      </c>
      <c r="H41" s="30"/>
      <c r="I41" s="31"/>
      <c r="J41" s="32" t="s">
        <v>103</v>
      </c>
      <c r="K41" s="16">
        <v>260.89999999999998</v>
      </c>
      <c r="M41" s="31"/>
    </row>
    <row r="42" spans="1:34" x14ac:dyDescent="0.2">
      <c r="A42" s="11"/>
      <c r="B42" s="11">
        <v>7422</v>
      </c>
      <c r="C42" s="28">
        <v>43501</v>
      </c>
      <c r="D42" s="29" t="s">
        <v>38</v>
      </c>
      <c r="E42" s="11" t="s">
        <v>46</v>
      </c>
      <c r="F42" s="11"/>
      <c r="G42" s="4">
        <v>2000</v>
      </c>
      <c r="H42" s="30"/>
      <c r="I42" s="31"/>
      <c r="J42" s="43" t="s">
        <v>104</v>
      </c>
      <c r="K42" s="16">
        <v>260.89999999999998</v>
      </c>
      <c r="M42" s="31"/>
    </row>
    <row r="43" spans="1:34" x14ac:dyDescent="0.2">
      <c r="A43" s="11"/>
      <c r="B43" s="11">
        <v>7421</v>
      </c>
      <c r="C43" s="28">
        <v>43501</v>
      </c>
      <c r="D43" s="29" t="s">
        <v>87</v>
      </c>
      <c r="E43" s="11" t="s">
        <v>90</v>
      </c>
      <c r="F43" s="11"/>
      <c r="G43" s="4">
        <v>300</v>
      </c>
      <c r="H43" s="30"/>
      <c r="I43" s="31"/>
      <c r="J43" s="32" t="s">
        <v>105</v>
      </c>
      <c r="K43" s="16">
        <v>251.85</v>
      </c>
      <c r="M43" s="31"/>
    </row>
    <row r="44" spans="1:34" x14ac:dyDescent="0.2">
      <c r="A44" s="27"/>
      <c r="B44" s="11">
        <v>7419</v>
      </c>
      <c r="C44" s="28">
        <v>43501</v>
      </c>
      <c r="D44" s="29" t="s">
        <v>93</v>
      </c>
      <c r="E44" s="11" t="s">
        <v>95</v>
      </c>
      <c r="F44" s="11"/>
      <c r="G44" s="4">
        <v>100</v>
      </c>
      <c r="H44" s="30"/>
      <c r="I44" s="31"/>
      <c r="J44" s="43" t="s">
        <v>106</v>
      </c>
      <c r="K44" s="16">
        <v>251.85</v>
      </c>
      <c r="M44" s="31"/>
    </row>
    <row r="45" spans="1:34" x14ac:dyDescent="0.2">
      <c r="A45" s="11"/>
      <c r="B45" s="11">
        <v>7417</v>
      </c>
      <c r="C45" s="28">
        <v>43501</v>
      </c>
      <c r="D45" s="14" t="s">
        <v>107</v>
      </c>
      <c r="E45" s="11" t="s">
        <v>108</v>
      </c>
      <c r="F45" s="11"/>
      <c r="G45" s="4">
        <v>490.98</v>
      </c>
      <c r="H45" s="30"/>
      <c r="I45" s="31"/>
      <c r="J45" s="32" t="s">
        <v>109</v>
      </c>
      <c r="K45" s="16">
        <v>743.88</v>
      </c>
      <c r="M45" s="31"/>
    </row>
    <row r="46" spans="1:34" x14ac:dyDescent="0.2">
      <c r="A46" s="44"/>
      <c r="B46" s="44"/>
      <c r="C46" s="28">
        <v>43501</v>
      </c>
      <c r="D46" s="47" t="s">
        <v>20</v>
      </c>
      <c r="E46" s="11" t="s">
        <v>21</v>
      </c>
      <c r="F46" s="11"/>
      <c r="G46" s="46">
        <v>0</v>
      </c>
      <c r="H46" s="30">
        <v>2006.14</v>
      </c>
      <c r="I46" s="31"/>
      <c r="J46" s="43" t="s">
        <v>110</v>
      </c>
      <c r="K46" s="16">
        <v>743.88</v>
      </c>
      <c r="M46" s="31"/>
    </row>
    <row r="47" spans="1:34" x14ac:dyDescent="0.2">
      <c r="A47" s="44"/>
      <c r="B47" s="44"/>
      <c r="C47" s="28">
        <v>43501</v>
      </c>
      <c r="D47" s="14" t="s">
        <v>28</v>
      </c>
      <c r="E47" s="11" t="s">
        <v>31</v>
      </c>
      <c r="F47" s="11"/>
      <c r="G47" s="46">
        <v>0</v>
      </c>
      <c r="H47" s="30">
        <v>240.95</v>
      </c>
      <c r="I47" s="31"/>
      <c r="J47" s="32" t="s">
        <v>16</v>
      </c>
      <c r="K47" s="16">
        <v>2487.84</v>
      </c>
      <c r="M47" s="31"/>
    </row>
    <row r="48" spans="1:34" x14ac:dyDescent="0.2">
      <c r="A48" s="44"/>
      <c r="B48" s="44"/>
      <c r="C48" s="28">
        <v>43501</v>
      </c>
      <c r="D48" s="47" t="s">
        <v>36</v>
      </c>
      <c r="E48" s="11" t="s">
        <v>111</v>
      </c>
      <c r="F48" s="11"/>
      <c r="G48" s="46">
        <v>0</v>
      </c>
      <c r="H48" s="30">
        <v>45</v>
      </c>
      <c r="I48" s="31"/>
      <c r="J48" s="43" t="s">
        <v>17</v>
      </c>
      <c r="K48" s="16">
        <v>2487.84</v>
      </c>
      <c r="M48" s="31"/>
    </row>
    <row r="49" spans="1:13" x14ac:dyDescent="0.2">
      <c r="A49" s="44"/>
      <c r="B49" s="44"/>
      <c r="C49" s="28">
        <v>43501</v>
      </c>
      <c r="D49" s="14" t="s">
        <v>39</v>
      </c>
      <c r="E49" s="11" t="s">
        <v>40</v>
      </c>
      <c r="F49" s="11"/>
      <c r="G49" s="46">
        <v>0</v>
      </c>
      <c r="H49" s="30">
        <v>75.45</v>
      </c>
      <c r="I49" s="31"/>
      <c r="J49" s="32" t="s">
        <v>107</v>
      </c>
      <c r="K49" s="16">
        <v>3719.66</v>
      </c>
      <c r="M49" s="31"/>
    </row>
    <row r="50" spans="1:13" x14ac:dyDescent="0.2">
      <c r="A50" s="44"/>
      <c r="B50" s="44"/>
      <c r="C50" s="28">
        <v>43501</v>
      </c>
      <c r="D50" s="47" t="s">
        <v>44</v>
      </c>
      <c r="E50" s="11" t="s">
        <v>45</v>
      </c>
      <c r="F50" s="11"/>
      <c r="G50" s="46">
        <v>0</v>
      </c>
      <c r="H50" s="30">
        <v>48.32</v>
      </c>
      <c r="I50" s="31"/>
      <c r="J50" s="43" t="s">
        <v>112</v>
      </c>
      <c r="K50" s="16">
        <v>4.99</v>
      </c>
      <c r="M50" s="31"/>
    </row>
    <row r="51" spans="1:13" x14ac:dyDescent="0.2">
      <c r="A51" s="44"/>
      <c r="B51" s="44"/>
      <c r="C51" s="28">
        <v>43501</v>
      </c>
      <c r="D51" s="14" t="s">
        <v>113</v>
      </c>
      <c r="E51" s="11" t="s">
        <v>114</v>
      </c>
      <c r="F51" s="11"/>
      <c r="G51" s="46">
        <v>0</v>
      </c>
      <c r="H51" s="30">
        <v>71</v>
      </c>
      <c r="I51" s="31"/>
      <c r="J51" s="43" t="s">
        <v>108</v>
      </c>
      <c r="K51" s="16">
        <v>3714.67</v>
      </c>
      <c r="M51" s="31"/>
    </row>
    <row r="52" spans="1:13" x14ac:dyDescent="0.2">
      <c r="A52" s="11"/>
      <c r="B52" s="11">
        <v>7413</v>
      </c>
      <c r="C52" s="28">
        <v>43501</v>
      </c>
      <c r="D52" s="14" t="s">
        <v>91</v>
      </c>
      <c r="E52" s="15" t="s">
        <v>92</v>
      </c>
      <c r="F52" s="11"/>
      <c r="G52" s="4">
        <v>110.65</v>
      </c>
      <c r="H52" s="30"/>
      <c r="I52" s="31"/>
      <c r="J52" s="32" t="s">
        <v>63</v>
      </c>
      <c r="K52" s="16">
        <v>516</v>
      </c>
      <c r="M52" s="31"/>
    </row>
    <row r="53" spans="1:13" x14ac:dyDescent="0.2">
      <c r="A53" s="11"/>
      <c r="B53" s="11">
        <v>7420</v>
      </c>
      <c r="C53" s="28">
        <v>43501</v>
      </c>
      <c r="D53" s="29" t="s">
        <v>96</v>
      </c>
      <c r="E53" s="11" t="s">
        <v>97</v>
      </c>
      <c r="F53" s="11"/>
      <c r="G53" s="55">
        <v>172.45</v>
      </c>
      <c r="H53" s="30"/>
      <c r="I53" s="31"/>
      <c r="J53" s="43" t="s">
        <v>64</v>
      </c>
      <c r="K53" s="16">
        <v>516</v>
      </c>
      <c r="M53" s="31"/>
    </row>
    <row r="54" spans="1:13" x14ac:dyDescent="0.2">
      <c r="A54" s="11"/>
      <c r="B54" s="11">
        <v>7418</v>
      </c>
      <c r="C54" s="28">
        <v>43501</v>
      </c>
      <c r="D54" s="29" t="s">
        <v>115</v>
      </c>
      <c r="E54" s="11" t="s">
        <v>116</v>
      </c>
      <c r="F54" s="11"/>
      <c r="G54" s="4">
        <v>867.35</v>
      </c>
      <c r="H54" s="30"/>
      <c r="I54" s="31"/>
      <c r="J54" s="32" t="s">
        <v>117</v>
      </c>
      <c r="K54" s="16">
        <v>629.26</v>
      </c>
      <c r="M54" s="31"/>
    </row>
    <row r="55" spans="1:13" x14ac:dyDescent="0.2">
      <c r="A55" s="11"/>
      <c r="B55" s="11">
        <v>7415</v>
      </c>
      <c r="C55" s="28">
        <v>43501</v>
      </c>
      <c r="D55" s="29" t="s">
        <v>60</v>
      </c>
      <c r="E55" s="56" t="s">
        <v>45</v>
      </c>
      <c r="F55" s="11"/>
      <c r="G55" s="4">
        <v>224.28</v>
      </c>
      <c r="H55" s="30"/>
      <c r="I55" s="31"/>
      <c r="J55" s="43" t="s">
        <v>118</v>
      </c>
      <c r="K55" s="16">
        <v>629.26</v>
      </c>
      <c r="M55" s="31"/>
    </row>
    <row r="56" spans="1:13" x14ac:dyDescent="0.2">
      <c r="A56" s="11"/>
      <c r="B56" s="11">
        <v>7414</v>
      </c>
      <c r="C56" s="28">
        <v>43501</v>
      </c>
      <c r="D56" s="14" t="s">
        <v>119</v>
      </c>
      <c r="E56" s="11" t="s">
        <v>120</v>
      </c>
      <c r="F56" s="11"/>
      <c r="G56" s="4">
        <v>15</v>
      </c>
      <c r="H56" s="30"/>
      <c r="I56" s="31"/>
      <c r="J56" s="32" t="s">
        <v>121</v>
      </c>
      <c r="K56" s="16">
        <v>147.79</v>
      </c>
      <c r="M56" s="31"/>
    </row>
    <row r="57" spans="1:13" x14ac:dyDescent="0.2">
      <c r="A57" s="11"/>
      <c r="B57" s="11">
        <v>7423</v>
      </c>
      <c r="C57" s="28">
        <v>43501</v>
      </c>
      <c r="D57" s="29"/>
      <c r="E57" s="11" t="s">
        <v>122</v>
      </c>
      <c r="F57" s="11"/>
      <c r="G57" s="4">
        <v>0</v>
      </c>
      <c r="H57" s="30"/>
      <c r="I57" s="31"/>
      <c r="J57" s="43" t="s">
        <v>123</v>
      </c>
      <c r="K57" s="16">
        <v>147.79</v>
      </c>
      <c r="M57" s="31"/>
    </row>
    <row r="58" spans="1:13" x14ac:dyDescent="0.2">
      <c r="A58" s="11"/>
      <c r="B58" s="11">
        <v>7430</v>
      </c>
      <c r="C58" s="28">
        <v>43515</v>
      </c>
      <c r="D58" s="29" t="s">
        <v>38</v>
      </c>
      <c r="E58" s="11" t="s">
        <v>43</v>
      </c>
      <c r="F58" s="11"/>
      <c r="G58" s="4">
        <v>100</v>
      </c>
      <c r="H58" s="30"/>
      <c r="I58" s="31"/>
      <c r="J58" s="32" t="s">
        <v>124</v>
      </c>
      <c r="K58" s="16">
        <v>2000</v>
      </c>
      <c r="M58" s="31"/>
    </row>
    <row r="59" spans="1:13" x14ac:dyDescent="0.2">
      <c r="A59" s="27"/>
      <c r="B59" s="11">
        <v>7427</v>
      </c>
      <c r="C59" s="28">
        <v>43515</v>
      </c>
      <c r="D59" s="14" t="s">
        <v>61</v>
      </c>
      <c r="E59" s="11" t="s">
        <v>65</v>
      </c>
      <c r="F59" s="11"/>
      <c r="G59" s="4">
        <v>62.43</v>
      </c>
      <c r="H59" s="30"/>
      <c r="I59" s="31"/>
      <c r="J59" s="43" t="s">
        <v>125</v>
      </c>
      <c r="K59" s="16">
        <v>800</v>
      </c>
      <c r="M59" s="31"/>
    </row>
    <row r="60" spans="1:13" x14ac:dyDescent="0.2">
      <c r="A60" s="11"/>
      <c r="B60" s="11">
        <v>7428</v>
      </c>
      <c r="C60" s="28">
        <v>43515</v>
      </c>
      <c r="D60" s="14" t="s">
        <v>16</v>
      </c>
      <c r="E60" s="15" t="s">
        <v>17</v>
      </c>
      <c r="F60" s="11"/>
      <c r="G60" s="4">
        <v>258.81</v>
      </c>
      <c r="H60" s="30"/>
      <c r="I60" s="31"/>
      <c r="J60" s="43" t="s">
        <v>126</v>
      </c>
      <c r="K60" s="16">
        <v>400</v>
      </c>
      <c r="M60" s="31"/>
    </row>
    <row r="61" spans="1:13" x14ac:dyDescent="0.2">
      <c r="A61" s="11"/>
      <c r="B61" s="11">
        <v>7425</v>
      </c>
      <c r="C61" s="28">
        <v>43515</v>
      </c>
      <c r="D61" s="14" t="s">
        <v>107</v>
      </c>
      <c r="E61" s="11" t="s">
        <v>108</v>
      </c>
      <c r="F61" s="11"/>
      <c r="G61" s="4">
        <v>425.46</v>
      </c>
      <c r="H61" s="30"/>
      <c r="I61" s="31"/>
      <c r="J61" s="43" t="s">
        <v>127</v>
      </c>
      <c r="K61" s="16">
        <v>400</v>
      </c>
      <c r="M61" s="31"/>
    </row>
    <row r="62" spans="1:13" x14ac:dyDescent="0.2">
      <c r="A62" s="44"/>
      <c r="B62" s="44"/>
      <c r="C62" s="28">
        <v>43515</v>
      </c>
      <c r="D62" s="14" t="s">
        <v>128</v>
      </c>
      <c r="E62" s="15" t="s">
        <v>129</v>
      </c>
      <c r="F62" s="11"/>
      <c r="G62" s="4"/>
      <c r="H62" s="4">
        <v>974.8</v>
      </c>
      <c r="I62" s="31"/>
      <c r="J62" s="43" t="s">
        <v>130</v>
      </c>
      <c r="K62" s="16">
        <v>400</v>
      </c>
      <c r="M62" s="31"/>
    </row>
    <row r="63" spans="1:13" x14ac:dyDescent="0.2">
      <c r="A63" s="44"/>
      <c r="B63" s="44"/>
      <c r="C63" s="28">
        <v>43515</v>
      </c>
      <c r="D63" s="14" t="s">
        <v>26</v>
      </c>
      <c r="E63" s="15" t="s">
        <v>27</v>
      </c>
      <c r="F63" s="11"/>
      <c r="G63" s="4"/>
      <c r="H63" s="4">
        <v>37</v>
      </c>
      <c r="I63" s="31"/>
      <c r="J63" s="32" t="s">
        <v>131</v>
      </c>
      <c r="K63" s="16">
        <v>10500</v>
      </c>
      <c r="M63" s="31"/>
    </row>
    <row r="64" spans="1:13" x14ac:dyDescent="0.2">
      <c r="A64" s="44"/>
      <c r="B64" s="44"/>
      <c r="C64" s="13">
        <v>43515</v>
      </c>
      <c r="D64" s="14" t="s">
        <v>28</v>
      </c>
      <c r="E64" s="15" t="s">
        <v>31</v>
      </c>
      <c r="F64" s="11"/>
      <c r="G64" s="4"/>
      <c r="H64" s="4">
        <v>102.2</v>
      </c>
      <c r="I64" s="31"/>
      <c r="J64" s="43" t="s">
        <v>132</v>
      </c>
      <c r="K64" s="16">
        <v>10500</v>
      </c>
      <c r="M64" s="31"/>
    </row>
    <row r="65" spans="1:13" x14ac:dyDescent="0.2">
      <c r="A65" s="44"/>
      <c r="B65" s="44"/>
      <c r="C65" s="13">
        <v>43515</v>
      </c>
      <c r="D65" s="14" t="s">
        <v>33</v>
      </c>
      <c r="E65" s="15" t="s">
        <v>34</v>
      </c>
      <c r="F65" s="11"/>
      <c r="G65" s="4"/>
      <c r="H65" s="4">
        <v>46</v>
      </c>
      <c r="I65" s="31"/>
      <c r="J65" s="32" t="s">
        <v>133</v>
      </c>
      <c r="K65" s="16">
        <v>650</v>
      </c>
      <c r="M65" s="31"/>
    </row>
    <row r="66" spans="1:13" x14ac:dyDescent="0.2">
      <c r="A66" s="44"/>
      <c r="B66" s="44"/>
      <c r="C66" s="13">
        <v>43515</v>
      </c>
      <c r="D66" s="14" t="s">
        <v>39</v>
      </c>
      <c r="E66" s="57" t="s">
        <v>73</v>
      </c>
      <c r="F66" s="11"/>
      <c r="G66" s="4"/>
      <c r="H66" s="4">
        <v>14.59</v>
      </c>
      <c r="I66" s="31"/>
      <c r="J66" s="43" t="s">
        <v>134</v>
      </c>
      <c r="K66" s="16">
        <v>650</v>
      </c>
      <c r="M66" s="31"/>
    </row>
    <row r="67" spans="1:13" x14ac:dyDescent="0.2">
      <c r="A67" s="44"/>
      <c r="B67" s="44"/>
      <c r="C67" s="13">
        <v>43515</v>
      </c>
      <c r="D67" s="14" t="s">
        <v>39</v>
      </c>
      <c r="E67" s="57" t="s">
        <v>73</v>
      </c>
      <c r="F67" s="11"/>
      <c r="G67" s="4"/>
      <c r="H67" s="4">
        <v>25.88</v>
      </c>
      <c r="I67" s="31"/>
      <c r="J67" s="32" t="s">
        <v>20</v>
      </c>
      <c r="K67" s="16">
        <v>0</v>
      </c>
      <c r="L67" s="16">
        <v>17335.305874999998</v>
      </c>
      <c r="M67" s="31"/>
    </row>
    <row r="68" spans="1:13" x14ac:dyDescent="0.2">
      <c r="A68" s="44"/>
      <c r="B68" s="44"/>
      <c r="C68" s="13">
        <v>43515</v>
      </c>
      <c r="D68" s="14" t="s">
        <v>39</v>
      </c>
      <c r="E68" s="15" t="s">
        <v>73</v>
      </c>
      <c r="F68" s="11"/>
      <c r="G68" s="4"/>
      <c r="H68" s="4">
        <v>167.65</v>
      </c>
      <c r="I68" s="31"/>
      <c r="J68" s="43" t="s">
        <v>21</v>
      </c>
      <c r="K68" s="16">
        <v>0</v>
      </c>
      <c r="L68" s="16">
        <v>17335.305874999998</v>
      </c>
      <c r="M68" s="31"/>
    </row>
    <row r="69" spans="1:13" x14ac:dyDescent="0.2">
      <c r="A69" s="44"/>
      <c r="B69" s="44"/>
      <c r="C69" s="13">
        <v>43515</v>
      </c>
      <c r="D69" s="14" t="s">
        <v>39</v>
      </c>
      <c r="E69" s="15" t="s">
        <v>135</v>
      </c>
      <c r="F69" s="11"/>
      <c r="G69" s="4"/>
      <c r="H69" s="4">
        <v>5.19</v>
      </c>
      <c r="I69" s="31"/>
      <c r="J69" s="32" t="s">
        <v>23</v>
      </c>
      <c r="K69" s="16">
        <v>0</v>
      </c>
      <c r="L69" s="16">
        <v>5952.44</v>
      </c>
      <c r="M69" s="31"/>
    </row>
    <row r="70" spans="1:13" x14ac:dyDescent="0.2">
      <c r="A70" s="44"/>
      <c r="B70" s="44"/>
      <c r="C70" s="13">
        <v>43515</v>
      </c>
      <c r="D70" s="14" t="s">
        <v>113</v>
      </c>
      <c r="E70" s="15" t="s">
        <v>114</v>
      </c>
      <c r="F70" s="11"/>
      <c r="G70" s="4"/>
      <c r="H70" s="4">
        <v>124</v>
      </c>
      <c r="I70" s="31"/>
      <c r="J70" s="43" t="s">
        <v>136</v>
      </c>
      <c r="L70" s="16">
        <v>40</v>
      </c>
      <c r="M70" s="31"/>
    </row>
    <row r="71" spans="1:13" x14ac:dyDescent="0.2">
      <c r="A71" s="11"/>
      <c r="B71" s="11">
        <v>7429</v>
      </c>
      <c r="C71" s="28">
        <v>43515</v>
      </c>
      <c r="D71" s="14" t="s">
        <v>85</v>
      </c>
      <c r="E71" s="11" t="s">
        <v>86</v>
      </c>
      <c r="F71" s="11"/>
      <c r="G71" s="4">
        <v>48.64</v>
      </c>
      <c r="H71" s="30"/>
      <c r="I71" s="31"/>
      <c r="J71" s="43" t="s">
        <v>67</v>
      </c>
      <c r="K71" s="16">
        <v>0</v>
      </c>
      <c r="L71" s="16">
        <v>5786.49</v>
      </c>
      <c r="M71" s="31"/>
    </row>
    <row r="72" spans="1:13" x14ac:dyDescent="0.2">
      <c r="A72" s="11"/>
      <c r="B72" s="11">
        <v>7431</v>
      </c>
      <c r="C72" s="28">
        <v>43515</v>
      </c>
      <c r="D72" s="29" t="s">
        <v>137</v>
      </c>
      <c r="E72" s="11" t="s">
        <v>138</v>
      </c>
      <c r="F72" s="11"/>
      <c r="G72" s="4">
        <v>204</v>
      </c>
      <c r="H72" s="30"/>
      <c r="I72" s="31"/>
      <c r="J72" s="43" t="s">
        <v>24</v>
      </c>
      <c r="L72" s="16">
        <v>86</v>
      </c>
      <c r="M72" s="31"/>
    </row>
    <row r="73" spans="1:13" x14ac:dyDescent="0.2">
      <c r="A73" s="11"/>
      <c r="B73" s="11">
        <v>7426</v>
      </c>
      <c r="C73" s="28">
        <v>43515</v>
      </c>
      <c r="D73" s="14" t="s">
        <v>100</v>
      </c>
      <c r="E73" s="11" t="s">
        <v>139</v>
      </c>
      <c r="F73" s="11"/>
      <c r="G73" s="4">
        <v>59.89</v>
      </c>
      <c r="H73" s="30"/>
      <c r="I73" s="31"/>
      <c r="J73" s="43" t="s">
        <v>140</v>
      </c>
      <c r="L73" s="16">
        <v>39.950000000000003</v>
      </c>
      <c r="M73" s="31"/>
    </row>
    <row r="74" spans="1:13" x14ac:dyDescent="0.2">
      <c r="A74" s="11"/>
      <c r="B74" s="11">
        <v>7424</v>
      </c>
      <c r="C74" s="28">
        <v>43515</v>
      </c>
      <c r="D74" s="29"/>
      <c r="E74" s="11" t="s">
        <v>122</v>
      </c>
      <c r="F74" s="11"/>
      <c r="G74" s="4">
        <v>0</v>
      </c>
      <c r="H74" s="30"/>
      <c r="I74" s="31"/>
      <c r="J74" s="32" t="s">
        <v>128</v>
      </c>
      <c r="L74" s="16">
        <v>4934.8500000000004</v>
      </c>
      <c r="M74" s="31"/>
    </row>
    <row r="75" spans="1:13" x14ac:dyDescent="0.2">
      <c r="A75" s="11"/>
      <c r="B75" s="11"/>
      <c r="C75" s="28">
        <v>43529</v>
      </c>
      <c r="D75" s="14" t="s">
        <v>20</v>
      </c>
      <c r="E75" s="11" t="s">
        <v>21</v>
      </c>
      <c r="F75" s="11"/>
      <c r="G75" s="30"/>
      <c r="H75" s="30">
        <v>45.03</v>
      </c>
      <c r="I75" s="31"/>
      <c r="J75" s="43" t="s">
        <v>129</v>
      </c>
      <c r="L75" s="16">
        <v>4934.8500000000004</v>
      </c>
      <c r="M75" s="31"/>
    </row>
    <row r="76" spans="1:13" x14ac:dyDescent="0.2">
      <c r="A76" s="11"/>
      <c r="B76" s="11"/>
      <c r="C76" s="28">
        <v>43529</v>
      </c>
      <c r="D76" s="14" t="s">
        <v>20</v>
      </c>
      <c r="E76" s="11" t="s">
        <v>21</v>
      </c>
      <c r="F76" s="11"/>
      <c r="G76" s="30"/>
      <c r="H76" s="30">
        <v>802</v>
      </c>
      <c r="I76" s="31"/>
      <c r="J76" s="32" t="s">
        <v>141</v>
      </c>
      <c r="L76" s="16">
        <v>2513</v>
      </c>
      <c r="M76" s="31"/>
    </row>
    <row r="77" spans="1:13" x14ac:dyDescent="0.2">
      <c r="A77" s="11"/>
      <c r="B77" s="11"/>
      <c r="C77" s="28">
        <v>43529</v>
      </c>
      <c r="D77" s="14" t="s">
        <v>20</v>
      </c>
      <c r="E77" s="11" t="s">
        <v>21</v>
      </c>
      <c r="F77" s="11"/>
      <c r="G77" s="30"/>
      <c r="H77" s="30">
        <v>879.79075</v>
      </c>
      <c r="I77" s="31"/>
      <c r="J77" s="43" t="s">
        <v>110</v>
      </c>
      <c r="L77" s="16">
        <v>2513</v>
      </c>
      <c r="M77" s="31"/>
    </row>
    <row r="78" spans="1:13" x14ac:dyDescent="0.2">
      <c r="A78" s="11"/>
      <c r="B78" s="11"/>
      <c r="C78" s="28">
        <v>43529</v>
      </c>
      <c r="D78" s="14" t="s">
        <v>23</v>
      </c>
      <c r="E78" s="11" t="s">
        <v>67</v>
      </c>
      <c r="F78" s="11"/>
      <c r="G78" s="30"/>
      <c r="H78" s="30">
        <v>139</v>
      </c>
      <c r="I78" s="31"/>
      <c r="J78" s="32" t="s">
        <v>142</v>
      </c>
      <c r="L78" s="16">
        <v>212.25</v>
      </c>
      <c r="M78" s="31"/>
    </row>
    <row r="79" spans="1:13" x14ac:dyDescent="0.2">
      <c r="A79" s="11"/>
      <c r="B79" s="11"/>
      <c r="C79" s="28">
        <v>43529</v>
      </c>
      <c r="D79" s="14" t="s">
        <v>23</v>
      </c>
      <c r="E79" s="11" t="s">
        <v>67</v>
      </c>
      <c r="F79" s="11"/>
      <c r="G79" s="30"/>
      <c r="H79" s="30">
        <v>669.95</v>
      </c>
      <c r="I79" s="31"/>
      <c r="J79" s="43" t="s">
        <v>143</v>
      </c>
      <c r="L79" s="16">
        <v>212.25</v>
      </c>
      <c r="M79" s="31"/>
    </row>
    <row r="80" spans="1:13" x14ac:dyDescent="0.2">
      <c r="A80" s="11"/>
      <c r="B80" s="11"/>
      <c r="C80" s="28">
        <v>43529</v>
      </c>
      <c r="D80" s="14" t="s">
        <v>128</v>
      </c>
      <c r="E80" s="11" t="s">
        <v>129</v>
      </c>
      <c r="F80" s="11"/>
      <c r="G80" s="30"/>
      <c r="H80" s="30">
        <v>786</v>
      </c>
      <c r="I80" s="31"/>
      <c r="J80" s="32" t="s">
        <v>144</v>
      </c>
      <c r="L80" s="16">
        <v>23028</v>
      </c>
      <c r="M80" s="31"/>
    </row>
    <row r="81" spans="1:13" x14ac:dyDescent="0.2">
      <c r="A81" s="11"/>
      <c r="B81" s="11"/>
      <c r="C81" s="28">
        <v>43529</v>
      </c>
      <c r="D81" s="14" t="s">
        <v>141</v>
      </c>
      <c r="E81" s="11" t="s">
        <v>110</v>
      </c>
      <c r="F81" s="11"/>
      <c r="G81" s="30"/>
      <c r="H81" s="30">
        <v>2513</v>
      </c>
      <c r="I81" s="31"/>
      <c r="J81" s="43" t="s">
        <v>145</v>
      </c>
      <c r="L81" s="16">
        <v>23028</v>
      </c>
      <c r="M81" s="31"/>
    </row>
    <row r="82" spans="1:13" x14ac:dyDescent="0.2">
      <c r="A82" s="11"/>
      <c r="B82" s="11"/>
      <c r="C82" s="28">
        <v>43529</v>
      </c>
      <c r="D82" s="29" t="s">
        <v>144</v>
      </c>
      <c r="E82" s="11" t="s">
        <v>145</v>
      </c>
      <c r="F82" s="11"/>
      <c r="G82" s="30"/>
      <c r="H82" s="30">
        <v>12768</v>
      </c>
      <c r="I82" s="31"/>
      <c r="J82" s="32" t="s">
        <v>146</v>
      </c>
      <c r="L82" s="16">
        <v>75</v>
      </c>
      <c r="M82" s="31"/>
    </row>
    <row r="83" spans="1:13" x14ac:dyDescent="0.2">
      <c r="A83" s="11"/>
      <c r="B83" s="11"/>
      <c r="C83" s="28">
        <v>43529</v>
      </c>
      <c r="D83" s="14" t="s">
        <v>147</v>
      </c>
      <c r="E83" s="11" t="s">
        <v>148</v>
      </c>
      <c r="F83" s="11"/>
      <c r="G83" s="30"/>
      <c r="H83" s="30">
        <v>3657.59</v>
      </c>
      <c r="I83" s="31"/>
      <c r="J83" s="43" t="s">
        <v>145</v>
      </c>
      <c r="L83" s="16">
        <v>75</v>
      </c>
      <c r="M83" s="31"/>
    </row>
    <row r="84" spans="1:13" x14ac:dyDescent="0.2">
      <c r="A84" s="11"/>
      <c r="B84" s="11"/>
      <c r="C84" s="28">
        <v>43529</v>
      </c>
      <c r="D84" s="14" t="s">
        <v>26</v>
      </c>
      <c r="E84" s="11" t="s">
        <v>149</v>
      </c>
      <c r="F84" s="11"/>
      <c r="G84" s="30"/>
      <c r="H84" s="30">
        <v>50</v>
      </c>
      <c r="I84" s="31"/>
      <c r="J84" s="32" t="s">
        <v>69</v>
      </c>
      <c r="K84" s="16">
        <v>0</v>
      </c>
      <c r="L84" s="16">
        <v>5171</v>
      </c>
      <c r="M84" s="31"/>
    </row>
    <row r="85" spans="1:13" x14ac:dyDescent="0.2">
      <c r="A85" s="11"/>
      <c r="B85" s="11"/>
      <c r="C85" s="28">
        <v>43529</v>
      </c>
      <c r="D85" s="14" t="s">
        <v>28</v>
      </c>
      <c r="E85" s="11" t="s">
        <v>31</v>
      </c>
      <c r="F85" s="11"/>
      <c r="G85" s="30"/>
      <c r="H85" s="30">
        <v>7.3</v>
      </c>
      <c r="I85" s="31"/>
      <c r="J85" s="43" t="s">
        <v>70</v>
      </c>
      <c r="K85" s="16">
        <v>0</v>
      </c>
      <c r="L85" s="16">
        <v>5171</v>
      </c>
      <c r="M85" s="31"/>
    </row>
    <row r="86" spans="1:13" x14ac:dyDescent="0.2">
      <c r="A86" s="11"/>
      <c r="B86" s="11"/>
      <c r="C86" s="28">
        <v>43529</v>
      </c>
      <c r="D86" s="14" t="s">
        <v>28</v>
      </c>
      <c r="E86" s="11" t="s">
        <v>31</v>
      </c>
      <c r="F86" s="11"/>
      <c r="G86" s="30"/>
      <c r="H86" s="30">
        <v>63.95</v>
      </c>
      <c r="I86" s="31"/>
      <c r="J86" s="32" t="s">
        <v>147</v>
      </c>
      <c r="L86" s="16">
        <v>6990.45</v>
      </c>
      <c r="M86" s="31"/>
    </row>
    <row r="87" spans="1:13" x14ac:dyDescent="0.2">
      <c r="A87" s="11"/>
      <c r="B87" s="11"/>
      <c r="C87" s="28">
        <v>43529</v>
      </c>
      <c r="D87" s="14" t="s">
        <v>28</v>
      </c>
      <c r="E87" s="11" t="s">
        <v>31</v>
      </c>
      <c r="F87" s="11"/>
      <c r="G87" s="30"/>
      <c r="H87" s="30">
        <v>69.349999999999994</v>
      </c>
      <c r="I87" s="31"/>
      <c r="J87" s="43" t="s">
        <v>148</v>
      </c>
      <c r="L87" s="16">
        <v>6990.45</v>
      </c>
      <c r="M87" s="31"/>
    </row>
    <row r="88" spans="1:13" x14ac:dyDescent="0.2">
      <c r="A88" s="11"/>
      <c r="B88" s="11"/>
      <c r="C88" s="28">
        <v>43529</v>
      </c>
      <c r="D88" s="14" t="s">
        <v>33</v>
      </c>
      <c r="E88" s="11" t="s">
        <v>150</v>
      </c>
      <c r="F88" s="11"/>
      <c r="G88" s="30"/>
      <c r="H88" s="30">
        <v>71</v>
      </c>
      <c r="I88" s="31"/>
      <c r="J88" s="32" t="s">
        <v>151</v>
      </c>
      <c r="L88" s="16">
        <v>860</v>
      </c>
      <c r="M88" s="31"/>
    </row>
    <row r="89" spans="1:13" x14ac:dyDescent="0.2">
      <c r="A89" s="11"/>
      <c r="B89" s="11"/>
      <c r="C89" s="28">
        <v>43529</v>
      </c>
      <c r="D89" s="14" t="s">
        <v>39</v>
      </c>
      <c r="E89" s="11" t="s">
        <v>40</v>
      </c>
      <c r="F89" s="11"/>
      <c r="G89" s="30"/>
      <c r="H89" s="30">
        <v>0.59</v>
      </c>
      <c r="I89" s="31"/>
      <c r="J89" s="43" t="s">
        <v>152</v>
      </c>
      <c r="L89" s="16">
        <v>860</v>
      </c>
      <c r="M89" s="31"/>
    </row>
    <row r="90" spans="1:13" x14ac:dyDescent="0.2">
      <c r="A90" s="11"/>
      <c r="B90" s="11"/>
      <c r="C90" s="28">
        <v>43529</v>
      </c>
      <c r="D90" s="14" t="s">
        <v>39</v>
      </c>
      <c r="E90" s="11" t="s">
        <v>40</v>
      </c>
      <c r="F90" s="11"/>
      <c r="G90" s="30"/>
      <c r="H90" s="30">
        <v>1.75</v>
      </c>
      <c r="I90" s="31"/>
      <c r="J90" s="32" t="s">
        <v>26</v>
      </c>
      <c r="K90" s="16">
        <v>0</v>
      </c>
      <c r="L90" s="16">
        <v>971.05</v>
      </c>
      <c r="M90" s="31"/>
    </row>
    <row r="91" spans="1:13" x14ac:dyDescent="0.2">
      <c r="A91" s="11"/>
      <c r="B91" s="11"/>
      <c r="C91" s="28">
        <v>43529</v>
      </c>
      <c r="D91" s="29" t="s">
        <v>81</v>
      </c>
      <c r="E91" s="11" t="s">
        <v>45</v>
      </c>
      <c r="F91" s="11"/>
      <c r="G91" s="30"/>
      <c r="H91" s="30">
        <v>24.31</v>
      </c>
      <c r="I91" s="31"/>
      <c r="J91" s="43" t="s">
        <v>40</v>
      </c>
      <c r="L91" s="16">
        <v>11.05</v>
      </c>
      <c r="M91" s="31"/>
    </row>
    <row r="92" spans="1:13" x14ac:dyDescent="0.2">
      <c r="A92" s="11"/>
      <c r="B92" s="11"/>
      <c r="C92" s="28">
        <v>43529</v>
      </c>
      <c r="D92" s="14" t="s">
        <v>113</v>
      </c>
      <c r="E92" s="11" t="s">
        <v>114</v>
      </c>
      <c r="F92" s="11"/>
      <c r="G92" s="30"/>
      <c r="H92" s="30">
        <v>113</v>
      </c>
      <c r="I92" s="31"/>
      <c r="J92" s="43" t="s">
        <v>136</v>
      </c>
      <c r="L92" s="16">
        <v>259</v>
      </c>
      <c r="M92" s="31"/>
    </row>
    <row r="93" spans="1:13" x14ac:dyDescent="0.2">
      <c r="A93" s="11"/>
      <c r="B93" s="11">
        <v>7435</v>
      </c>
      <c r="C93" s="28">
        <v>43530</v>
      </c>
      <c r="D93" s="29" t="s">
        <v>15</v>
      </c>
      <c r="E93" s="11" t="s">
        <v>22</v>
      </c>
      <c r="F93" s="11"/>
      <c r="G93" s="4">
        <v>100</v>
      </c>
      <c r="H93" s="30"/>
      <c r="I93" s="31"/>
      <c r="J93" s="43" t="s">
        <v>27</v>
      </c>
      <c r="K93" s="16">
        <v>0</v>
      </c>
      <c r="L93" s="16">
        <v>196</v>
      </c>
      <c r="M93" s="31"/>
    </row>
    <row r="94" spans="1:13" x14ac:dyDescent="0.2">
      <c r="A94" s="11"/>
      <c r="B94" s="11">
        <v>7437</v>
      </c>
      <c r="C94" s="28">
        <v>43530</v>
      </c>
      <c r="D94" s="29" t="s">
        <v>30</v>
      </c>
      <c r="E94" s="11" t="s">
        <v>32</v>
      </c>
      <c r="F94" s="11"/>
      <c r="G94" s="4">
        <v>1500</v>
      </c>
      <c r="H94" s="30"/>
      <c r="I94" s="31"/>
      <c r="J94" s="43" t="s">
        <v>153</v>
      </c>
      <c r="L94" s="16">
        <v>5</v>
      </c>
      <c r="M94" s="31"/>
    </row>
    <row r="95" spans="1:13" x14ac:dyDescent="0.2">
      <c r="A95" s="11"/>
      <c r="B95" s="11">
        <v>7436</v>
      </c>
      <c r="C95" s="28">
        <v>43530</v>
      </c>
      <c r="D95" s="29" t="s">
        <v>68</v>
      </c>
      <c r="E95" s="11" t="s">
        <v>76</v>
      </c>
      <c r="F95" s="11"/>
      <c r="G95" s="4">
        <v>6170.59</v>
      </c>
      <c r="H95" s="30"/>
      <c r="I95" s="31"/>
      <c r="J95" s="43" t="s">
        <v>154</v>
      </c>
      <c r="L95" s="16">
        <v>500</v>
      </c>
      <c r="M95" s="31"/>
    </row>
    <row r="96" spans="1:13" x14ac:dyDescent="0.2">
      <c r="A96" s="11"/>
      <c r="B96" s="11">
        <v>7439</v>
      </c>
      <c r="C96" s="28">
        <v>43530</v>
      </c>
      <c r="D96" s="29" t="s">
        <v>87</v>
      </c>
      <c r="E96" s="11" t="s">
        <v>90</v>
      </c>
      <c r="F96" s="11"/>
      <c r="G96" s="4">
        <v>50</v>
      </c>
      <c r="H96" s="30"/>
      <c r="I96" s="31"/>
      <c r="J96" s="32" t="s">
        <v>28</v>
      </c>
      <c r="K96" s="16">
        <v>0</v>
      </c>
      <c r="L96" s="16">
        <v>1959.71</v>
      </c>
      <c r="M96" s="31"/>
    </row>
    <row r="97" spans="1:13" x14ac:dyDescent="0.2">
      <c r="A97" s="11"/>
      <c r="B97" s="11">
        <v>7432</v>
      </c>
      <c r="C97" s="28">
        <v>43530</v>
      </c>
      <c r="D97" s="14" t="s">
        <v>109</v>
      </c>
      <c r="E97" s="11" t="s">
        <v>110</v>
      </c>
      <c r="F97" s="11"/>
      <c r="G97" s="4">
        <v>102.83</v>
      </c>
      <c r="H97" s="30"/>
      <c r="I97" s="31"/>
      <c r="J97" s="43" t="s">
        <v>29</v>
      </c>
      <c r="K97" s="16">
        <v>0</v>
      </c>
      <c r="L97" s="16">
        <v>270.25</v>
      </c>
      <c r="M97" s="31"/>
    </row>
    <row r="98" spans="1:13" x14ac:dyDescent="0.2">
      <c r="A98" s="11"/>
      <c r="B98" s="11">
        <v>7433</v>
      </c>
      <c r="C98" s="28">
        <v>43530</v>
      </c>
      <c r="D98" s="14" t="s">
        <v>109</v>
      </c>
      <c r="E98" s="11" t="s">
        <v>110</v>
      </c>
      <c r="F98" s="11"/>
      <c r="G98" s="4">
        <v>227.92</v>
      </c>
      <c r="H98" s="30"/>
      <c r="I98" s="31"/>
      <c r="J98" s="43" t="s">
        <v>31</v>
      </c>
      <c r="K98" s="16">
        <v>0</v>
      </c>
      <c r="L98" s="16">
        <v>1689.46</v>
      </c>
      <c r="M98" s="31"/>
    </row>
    <row r="99" spans="1:13" x14ac:dyDescent="0.2">
      <c r="A99" s="11"/>
      <c r="B99" s="11">
        <v>7434</v>
      </c>
      <c r="C99" s="28">
        <v>43530</v>
      </c>
      <c r="D99" s="14" t="s">
        <v>109</v>
      </c>
      <c r="E99" s="11" t="s">
        <v>110</v>
      </c>
      <c r="F99" s="11"/>
      <c r="G99" s="4">
        <v>413.13</v>
      </c>
      <c r="H99" s="30"/>
      <c r="I99" s="31"/>
      <c r="J99" s="32" t="s">
        <v>155</v>
      </c>
      <c r="L99" s="16">
        <v>1244</v>
      </c>
      <c r="M99" s="31"/>
    </row>
    <row r="100" spans="1:13" x14ac:dyDescent="0.2">
      <c r="A100" s="11"/>
      <c r="B100" s="11">
        <v>7440</v>
      </c>
      <c r="C100" s="28">
        <v>43530</v>
      </c>
      <c r="D100" s="14" t="s">
        <v>57</v>
      </c>
      <c r="E100" s="11" t="s">
        <v>156</v>
      </c>
      <c r="F100" s="11"/>
      <c r="G100" s="4">
        <v>300</v>
      </c>
      <c r="H100" s="30"/>
      <c r="I100" s="31"/>
      <c r="J100" s="43" t="s">
        <v>157</v>
      </c>
      <c r="L100" s="16">
        <v>1244</v>
      </c>
      <c r="M100" s="31"/>
    </row>
    <row r="101" spans="1:13" x14ac:dyDescent="0.2">
      <c r="A101" s="11"/>
      <c r="B101" s="11">
        <v>7438</v>
      </c>
      <c r="C101" s="28">
        <v>43530</v>
      </c>
      <c r="D101" s="29" t="s">
        <v>60</v>
      </c>
      <c r="E101" s="11" t="s">
        <v>45</v>
      </c>
      <c r="F101" s="11"/>
      <c r="G101" s="4">
        <v>24.62</v>
      </c>
      <c r="H101" s="30"/>
      <c r="I101" s="31"/>
      <c r="J101" s="32" t="s">
        <v>33</v>
      </c>
      <c r="K101" s="16">
        <v>0</v>
      </c>
      <c r="L101" s="16">
        <v>638</v>
      </c>
      <c r="M101" s="31"/>
    </row>
    <row r="102" spans="1:13" x14ac:dyDescent="0.2">
      <c r="A102" s="11"/>
      <c r="B102" s="11">
        <v>7434</v>
      </c>
      <c r="C102" s="28">
        <v>43530</v>
      </c>
      <c r="D102" s="29" t="s">
        <v>100</v>
      </c>
      <c r="E102" s="11" t="s">
        <v>158</v>
      </c>
      <c r="F102" s="11"/>
      <c r="G102" s="4">
        <v>43.82</v>
      </c>
      <c r="H102" s="30"/>
      <c r="I102" s="31"/>
      <c r="J102" s="43" t="s">
        <v>34</v>
      </c>
      <c r="K102" s="16">
        <v>0</v>
      </c>
      <c r="L102" s="16">
        <v>72</v>
      </c>
      <c r="M102" s="31"/>
    </row>
    <row r="103" spans="1:13" x14ac:dyDescent="0.2">
      <c r="A103" s="11"/>
      <c r="B103" s="11">
        <v>7447</v>
      </c>
      <c r="C103" s="28">
        <v>43543</v>
      </c>
      <c r="D103" s="29" t="s">
        <v>13</v>
      </c>
      <c r="E103" s="11" t="s">
        <v>14</v>
      </c>
      <c r="F103" s="11"/>
      <c r="G103" s="4">
        <v>350</v>
      </c>
      <c r="H103" s="30"/>
      <c r="I103" s="31"/>
      <c r="J103" s="43" t="s">
        <v>150</v>
      </c>
      <c r="L103" s="16">
        <v>566</v>
      </c>
      <c r="M103" s="31"/>
    </row>
    <row r="104" spans="1:13" x14ac:dyDescent="0.2">
      <c r="A104" s="11"/>
      <c r="B104" s="11">
        <v>7442</v>
      </c>
      <c r="C104" s="28">
        <v>43543</v>
      </c>
      <c r="D104" s="14" t="s">
        <v>16</v>
      </c>
      <c r="E104" s="11" t="s">
        <v>17</v>
      </c>
      <c r="F104" s="11"/>
      <c r="G104" s="4">
        <v>271.94</v>
      </c>
      <c r="H104" s="30"/>
      <c r="I104" s="31"/>
      <c r="J104" s="32" t="s">
        <v>36</v>
      </c>
      <c r="K104" s="16">
        <v>0</v>
      </c>
      <c r="L104" s="16">
        <v>206</v>
      </c>
      <c r="M104" s="31"/>
    </row>
    <row r="105" spans="1:13" x14ac:dyDescent="0.2">
      <c r="A105" s="11"/>
      <c r="B105" s="11">
        <v>7443</v>
      </c>
      <c r="C105" s="28">
        <v>43543</v>
      </c>
      <c r="D105" s="14" t="s">
        <v>107</v>
      </c>
      <c r="E105" s="11" t="s">
        <v>108</v>
      </c>
      <c r="F105" s="11"/>
      <c r="G105" s="4">
        <v>481.79</v>
      </c>
      <c r="H105" s="30"/>
      <c r="I105" s="31"/>
      <c r="J105" s="43" t="s">
        <v>111</v>
      </c>
      <c r="K105" s="16">
        <v>0</v>
      </c>
      <c r="L105" s="16">
        <v>180</v>
      </c>
      <c r="M105" s="31"/>
    </row>
    <row r="106" spans="1:13" x14ac:dyDescent="0.2">
      <c r="A106" s="11"/>
      <c r="B106" s="11">
        <v>7446</v>
      </c>
      <c r="C106" s="28">
        <v>43543</v>
      </c>
      <c r="D106" s="14" t="s">
        <v>133</v>
      </c>
      <c r="E106" s="11" t="s">
        <v>134</v>
      </c>
      <c r="F106" s="11"/>
      <c r="G106" s="4">
        <v>650</v>
      </c>
      <c r="H106" s="30"/>
      <c r="I106" s="31"/>
      <c r="J106" s="43" t="s">
        <v>37</v>
      </c>
      <c r="L106" s="16">
        <v>26</v>
      </c>
      <c r="M106" s="31"/>
    </row>
    <row r="107" spans="1:13" x14ac:dyDescent="0.2">
      <c r="A107" s="11"/>
      <c r="B107" s="11"/>
      <c r="C107" s="28">
        <v>43543</v>
      </c>
      <c r="D107" s="14" t="s">
        <v>20</v>
      </c>
      <c r="E107" s="52" t="s">
        <v>21</v>
      </c>
      <c r="F107" s="52"/>
      <c r="G107" s="30"/>
      <c r="H107" s="30">
        <v>471</v>
      </c>
      <c r="I107" s="31"/>
      <c r="J107" s="32" t="s">
        <v>39</v>
      </c>
      <c r="K107" s="16">
        <v>0</v>
      </c>
      <c r="L107" s="16">
        <v>6862.2827500000003</v>
      </c>
      <c r="M107" s="31"/>
    </row>
    <row r="108" spans="1:13" x14ac:dyDescent="0.2">
      <c r="A108" s="11"/>
      <c r="B108" s="11"/>
      <c r="C108" s="28">
        <v>43543</v>
      </c>
      <c r="D108" s="14" t="s">
        <v>20</v>
      </c>
      <c r="E108" s="52" t="s">
        <v>21</v>
      </c>
      <c r="F108" s="52"/>
      <c r="G108" s="30"/>
      <c r="H108" s="30">
        <v>179.61137500000001</v>
      </c>
      <c r="I108" s="31"/>
      <c r="J108" s="43" t="s">
        <v>159</v>
      </c>
      <c r="L108" s="16">
        <v>265.3</v>
      </c>
      <c r="M108" s="31"/>
    </row>
    <row r="109" spans="1:13" x14ac:dyDescent="0.2">
      <c r="A109" s="11"/>
      <c r="B109" s="11"/>
      <c r="C109" s="28">
        <v>43543</v>
      </c>
      <c r="D109" s="28" t="s">
        <v>144</v>
      </c>
      <c r="E109" s="52" t="s">
        <v>145</v>
      </c>
      <c r="F109" s="52"/>
      <c r="G109" s="30"/>
      <c r="H109" s="30">
        <v>6000</v>
      </c>
      <c r="I109" s="31"/>
      <c r="J109" s="43" t="s">
        <v>135</v>
      </c>
      <c r="L109" s="16">
        <v>5.19</v>
      </c>
      <c r="M109" s="31"/>
    </row>
    <row r="110" spans="1:13" x14ac:dyDescent="0.2">
      <c r="A110" s="11"/>
      <c r="B110" s="11"/>
      <c r="C110" s="28">
        <v>43543</v>
      </c>
      <c r="D110" s="14" t="s">
        <v>28</v>
      </c>
      <c r="E110" s="11" t="s">
        <v>31</v>
      </c>
      <c r="F110" s="52"/>
      <c r="G110" s="30"/>
      <c r="H110" s="30">
        <v>47.45</v>
      </c>
      <c r="I110" s="31"/>
      <c r="J110" s="43" t="s">
        <v>73</v>
      </c>
      <c r="K110" s="16">
        <v>0</v>
      </c>
      <c r="L110" s="16">
        <v>518.94000000000005</v>
      </c>
      <c r="M110" s="31"/>
    </row>
    <row r="111" spans="1:13" x14ac:dyDescent="0.2">
      <c r="A111" s="11"/>
      <c r="B111" s="11"/>
      <c r="C111" s="28">
        <v>43543</v>
      </c>
      <c r="D111" s="14" t="s">
        <v>28</v>
      </c>
      <c r="E111" s="11" t="s">
        <v>31</v>
      </c>
      <c r="F111" s="52"/>
      <c r="G111" s="30"/>
      <c r="H111" s="30">
        <v>10.95</v>
      </c>
      <c r="I111" s="31"/>
      <c r="J111" s="43" t="s">
        <v>160</v>
      </c>
      <c r="L111" s="16">
        <v>215</v>
      </c>
      <c r="M111" s="31"/>
    </row>
    <row r="112" spans="1:13" x14ac:dyDescent="0.2">
      <c r="A112" s="11"/>
      <c r="B112" s="11"/>
      <c r="C112" s="28">
        <v>43543</v>
      </c>
      <c r="D112" s="14" t="s">
        <v>39</v>
      </c>
      <c r="E112" s="52" t="s">
        <v>40</v>
      </c>
      <c r="F112" s="52"/>
      <c r="G112" s="30"/>
      <c r="H112" s="30">
        <v>10.7</v>
      </c>
      <c r="I112" s="31"/>
      <c r="J112" s="43" t="s">
        <v>40</v>
      </c>
      <c r="K112" s="16">
        <v>0</v>
      </c>
      <c r="L112" s="16">
        <v>1359.9602500000001</v>
      </c>
      <c r="M112" s="31"/>
    </row>
    <row r="113" spans="1:13" x14ac:dyDescent="0.2">
      <c r="A113" s="11"/>
      <c r="B113" s="11"/>
      <c r="C113" s="28">
        <v>43543</v>
      </c>
      <c r="D113" s="29" t="s">
        <v>81</v>
      </c>
      <c r="E113" s="52" t="s">
        <v>45</v>
      </c>
      <c r="F113" s="52"/>
      <c r="G113" s="30"/>
      <c r="H113" s="30">
        <v>24.31</v>
      </c>
      <c r="I113" s="31"/>
      <c r="J113" s="43" t="s">
        <v>75</v>
      </c>
      <c r="K113" s="16">
        <v>0</v>
      </c>
      <c r="L113" s="16">
        <v>100</v>
      </c>
      <c r="M113" s="31"/>
    </row>
    <row r="114" spans="1:13" x14ac:dyDescent="0.2">
      <c r="A114" s="11"/>
      <c r="B114" s="11">
        <v>7441</v>
      </c>
      <c r="C114" s="28">
        <v>43543</v>
      </c>
      <c r="D114" s="14" t="s">
        <v>85</v>
      </c>
      <c r="E114" s="11" t="s">
        <v>86</v>
      </c>
      <c r="F114" s="11"/>
      <c r="G114" s="4">
        <v>48.05</v>
      </c>
      <c r="H114" s="30"/>
      <c r="I114" s="31"/>
      <c r="J114" s="43" t="s">
        <v>161</v>
      </c>
      <c r="L114" s="16">
        <v>50</v>
      </c>
      <c r="M114" s="31"/>
    </row>
    <row r="115" spans="1:13" x14ac:dyDescent="0.2">
      <c r="A115" s="11"/>
      <c r="B115" s="11">
        <v>7444</v>
      </c>
      <c r="C115" s="28">
        <v>43543</v>
      </c>
      <c r="D115" s="29" t="s">
        <v>96</v>
      </c>
      <c r="E115" s="11" t="s">
        <v>97</v>
      </c>
      <c r="F115" s="11"/>
      <c r="G115" s="4">
        <v>244.82</v>
      </c>
      <c r="H115" s="30"/>
      <c r="I115" s="31"/>
      <c r="J115" s="43" t="s">
        <v>154</v>
      </c>
      <c r="L115" s="16">
        <v>500</v>
      </c>
      <c r="M115" s="31"/>
    </row>
    <row r="116" spans="1:13" x14ac:dyDescent="0.2">
      <c r="A116" s="11"/>
      <c r="B116" s="11">
        <v>7448</v>
      </c>
      <c r="C116" s="28">
        <v>43543</v>
      </c>
      <c r="D116" s="29" t="s">
        <v>137</v>
      </c>
      <c r="E116" s="11" t="s">
        <v>162</v>
      </c>
      <c r="F116" s="11"/>
      <c r="G116" s="4">
        <v>595</v>
      </c>
      <c r="H116" s="30"/>
      <c r="I116" s="31"/>
      <c r="J116" s="43" t="s">
        <v>82</v>
      </c>
      <c r="L116" s="16">
        <v>137.11250000000001</v>
      </c>
      <c r="M116" s="31"/>
    </row>
    <row r="117" spans="1:13" x14ac:dyDescent="0.2">
      <c r="A117" s="11"/>
      <c r="B117" s="11">
        <v>7445</v>
      </c>
      <c r="C117" s="28">
        <v>43543</v>
      </c>
      <c r="D117" s="29" t="s">
        <v>60</v>
      </c>
      <c r="E117" s="11" t="s">
        <v>45</v>
      </c>
      <c r="F117" s="11"/>
      <c r="G117" s="4">
        <v>24.31</v>
      </c>
      <c r="H117" s="30"/>
      <c r="I117" s="31"/>
      <c r="J117" s="43" t="s">
        <v>42</v>
      </c>
      <c r="K117" s="16">
        <v>0</v>
      </c>
      <c r="L117" s="16">
        <v>1900</v>
      </c>
      <c r="M117" s="31"/>
    </row>
    <row r="118" spans="1:13" x14ac:dyDescent="0.2">
      <c r="A118" s="11"/>
      <c r="B118" s="11">
        <v>7475</v>
      </c>
      <c r="C118" s="28">
        <v>43553</v>
      </c>
      <c r="D118" s="29" t="s">
        <v>163</v>
      </c>
      <c r="E118" s="11" t="s">
        <v>164</v>
      </c>
      <c r="F118" s="11"/>
      <c r="G118" s="4">
        <v>32</v>
      </c>
      <c r="H118" s="30"/>
      <c r="I118" s="5"/>
      <c r="J118" s="43" t="s">
        <v>165</v>
      </c>
      <c r="L118" s="16">
        <v>1810.78</v>
      </c>
      <c r="M118" s="5"/>
    </row>
    <row r="119" spans="1:13" x14ac:dyDescent="0.2">
      <c r="A119" s="11"/>
      <c r="B119" s="11">
        <v>7476</v>
      </c>
      <c r="C119" s="28">
        <v>43553</v>
      </c>
      <c r="D119" s="29" t="s">
        <v>163</v>
      </c>
      <c r="E119" s="11" t="s">
        <v>166</v>
      </c>
      <c r="F119" s="11"/>
      <c r="G119" s="4">
        <v>90</v>
      </c>
      <c r="H119" s="30"/>
      <c r="I119" s="31"/>
      <c r="J119" s="32" t="s">
        <v>81</v>
      </c>
      <c r="K119" s="16">
        <v>0</v>
      </c>
      <c r="L119" s="16">
        <v>1902.17</v>
      </c>
      <c r="M119" s="31"/>
    </row>
    <row r="120" spans="1:13" x14ac:dyDescent="0.2">
      <c r="A120" s="11"/>
      <c r="B120" s="11">
        <v>7453</v>
      </c>
      <c r="C120" s="28">
        <v>43571</v>
      </c>
      <c r="D120" s="29" t="s">
        <v>15</v>
      </c>
      <c r="E120" s="11" t="s">
        <v>25</v>
      </c>
      <c r="F120" s="11"/>
      <c r="G120" s="4">
        <v>100</v>
      </c>
      <c r="H120" s="30"/>
      <c r="I120" s="31"/>
      <c r="J120" s="43" t="s">
        <v>45</v>
      </c>
      <c r="L120" s="16">
        <v>1775.33</v>
      </c>
      <c r="M120" s="31"/>
    </row>
    <row r="121" spans="1:13" x14ac:dyDescent="0.2">
      <c r="A121" s="11"/>
      <c r="B121" s="11">
        <v>7452</v>
      </c>
      <c r="C121" s="28">
        <v>43571</v>
      </c>
      <c r="D121" s="14" t="s">
        <v>61</v>
      </c>
      <c r="E121" s="11" t="s">
        <v>66</v>
      </c>
      <c r="F121" s="11"/>
      <c r="G121" s="4">
        <v>64.459999999999994</v>
      </c>
      <c r="H121" s="30"/>
      <c r="I121" s="31"/>
      <c r="J121" s="43" t="s">
        <v>82</v>
      </c>
      <c r="K121" s="16">
        <v>0</v>
      </c>
      <c r="L121" s="16">
        <v>126.84</v>
      </c>
      <c r="M121" s="31"/>
    </row>
    <row r="122" spans="1:13" x14ac:dyDescent="0.2">
      <c r="A122" s="11"/>
      <c r="B122" s="11">
        <v>7457</v>
      </c>
      <c r="C122" s="28">
        <v>43571</v>
      </c>
      <c r="D122" s="29" t="s">
        <v>68</v>
      </c>
      <c r="E122" s="11" t="s">
        <v>72</v>
      </c>
      <c r="F122" s="11"/>
      <c r="G122" s="4">
        <v>4379.99</v>
      </c>
      <c r="H122" s="30"/>
      <c r="I122" s="31"/>
      <c r="J122" s="32" t="s">
        <v>44</v>
      </c>
      <c r="K122" s="16">
        <v>0</v>
      </c>
      <c r="L122" s="16">
        <v>531.96</v>
      </c>
      <c r="M122" s="31"/>
    </row>
    <row r="123" spans="1:13" x14ac:dyDescent="0.2">
      <c r="A123" s="11"/>
      <c r="B123" s="11">
        <v>7450</v>
      </c>
      <c r="C123" s="28">
        <v>43571</v>
      </c>
      <c r="D123" s="14" t="s">
        <v>16</v>
      </c>
      <c r="E123" s="11" t="s">
        <v>17</v>
      </c>
      <c r="F123" s="11"/>
      <c r="G123" s="4">
        <v>282.63</v>
      </c>
      <c r="H123" s="30"/>
      <c r="I123" s="31"/>
      <c r="J123" s="43" t="s">
        <v>45</v>
      </c>
      <c r="K123" s="16">
        <v>0</v>
      </c>
      <c r="L123" s="16">
        <v>531.96</v>
      </c>
      <c r="M123" s="31"/>
    </row>
    <row r="124" spans="1:13" x14ac:dyDescent="0.2">
      <c r="A124" s="11"/>
      <c r="B124" s="11">
        <v>7451</v>
      </c>
      <c r="C124" s="28">
        <v>43571</v>
      </c>
      <c r="D124" s="14" t="s">
        <v>107</v>
      </c>
      <c r="E124" s="11" t="s">
        <v>108</v>
      </c>
      <c r="F124" s="11"/>
      <c r="G124" s="4">
        <v>471.14</v>
      </c>
      <c r="H124" s="30"/>
      <c r="I124" s="31"/>
      <c r="J124" s="32" t="s">
        <v>167</v>
      </c>
      <c r="L124" s="16">
        <v>8251.5</v>
      </c>
      <c r="M124" s="31"/>
    </row>
    <row r="125" spans="1:13" x14ac:dyDescent="0.2">
      <c r="A125" s="11"/>
      <c r="B125" s="11">
        <v>7456</v>
      </c>
      <c r="C125" s="28">
        <v>43571</v>
      </c>
      <c r="D125" s="14" t="s">
        <v>85</v>
      </c>
      <c r="E125" s="11" t="s">
        <v>86</v>
      </c>
      <c r="F125" s="11"/>
      <c r="G125" s="4">
        <v>47.94</v>
      </c>
      <c r="H125" s="30"/>
      <c r="I125" s="31"/>
      <c r="J125" s="43" t="s">
        <v>168</v>
      </c>
      <c r="L125" s="16">
        <v>8251.5</v>
      </c>
      <c r="M125" s="31"/>
    </row>
    <row r="126" spans="1:13" x14ac:dyDescent="0.2">
      <c r="A126" s="11"/>
      <c r="B126" s="11">
        <v>7455</v>
      </c>
      <c r="C126" s="28">
        <v>43571</v>
      </c>
      <c r="D126" s="29" t="s">
        <v>88</v>
      </c>
      <c r="E126" s="11" t="s">
        <v>169</v>
      </c>
      <c r="F126" s="11"/>
      <c r="G126" s="4">
        <v>107.89</v>
      </c>
      <c r="H126" s="30"/>
      <c r="I126" s="31"/>
      <c r="J126" s="32" t="s">
        <v>170</v>
      </c>
      <c r="L126" s="16">
        <v>392.76</v>
      </c>
      <c r="M126" s="31"/>
    </row>
    <row r="127" spans="1:13" x14ac:dyDescent="0.2">
      <c r="A127" s="11"/>
      <c r="B127" s="11">
        <v>7449</v>
      </c>
      <c r="C127" s="28">
        <v>43571</v>
      </c>
      <c r="D127" s="29" t="s">
        <v>171</v>
      </c>
      <c r="E127" s="11" t="s">
        <v>172</v>
      </c>
      <c r="F127" s="11"/>
      <c r="G127" s="4">
        <v>24000</v>
      </c>
      <c r="H127" s="30"/>
      <c r="I127" s="31"/>
      <c r="J127" s="43" t="s">
        <v>173</v>
      </c>
      <c r="L127" s="16">
        <v>392.76</v>
      </c>
      <c r="M127" s="31"/>
    </row>
    <row r="128" spans="1:13" x14ac:dyDescent="0.2">
      <c r="A128" s="11"/>
      <c r="B128" s="11">
        <v>7458</v>
      </c>
      <c r="C128" s="28">
        <v>43571</v>
      </c>
      <c r="D128" s="29" t="s">
        <v>137</v>
      </c>
      <c r="E128" s="11" t="s">
        <v>174</v>
      </c>
      <c r="F128" s="11"/>
      <c r="G128" s="4">
        <v>50</v>
      </c>
      <c r="H128" s="30"/>
      <c r="I128" s="31"/>
      <c r="J128" s="32" t="s">
        <v>175</v>
      </c>
      <c r="L128" s="16">
        <v>22000</v>
      </c>
      <c r="M128" s="31"/>
    </row>
    <row r="129" spans="1:13" x14ac:dyDescent="0.2">
      <c r="A129" s="11"/>
      <c r="B129" s="11">
        <v>7459</v>
      </c>
      <c r="C129" s="28">
        <v>43571</v>
      </c>
      <c r="D129" s="14" t="s">
        <v>57</v>
      </c>
      <c r="E129" s="11" t="s">
        <v>176</v>
      </c>
      <c r="F129" s="11"/>
      <c r="G129" s="4">
        <v>1475.95</v>
      </c>
      <c r="H129" s="30"/>
      <c r="I129" s="31"/>
      <c r="J129" s="43" t="s">
        <v>145</v>
      </c>
      <c r="L129" s="16">
        <v>22000</v>
      </c>
      <c r="M129" s="31"/>
    </row>
    <row r="130" spans="1:13" x14ac:dyDescent="0.2">
      <c r="A130" s="11"/>
      <c r="B130" s="11">
        <v>7454</v>
      </c>
      <c r="C130" s="28">
        <v>43571</v>
      </c>
      <c r="D130" s="29" t="s">
        <v>60</v>
      </c>
      <c r="E130" s="11" t="s">
        <v>45</v>
      </c>
      <c r="F130" s="11"/>
      <c r="G130" s="4">
        <v>778.91</v>
      </c>
      <c r="H130" s="30"/>
      <c r="I130" s="31"/>
      <c r="J130" s="32" t="s">
        <v>113</v>
      </c>
      <c r="K130" s="16">
        <v>0</v>
      </c>
      <c r="L130" s="16">
        <v>1174</v>
      </c>
      <c r="M130" s="31"/>
    </row>
    <row r="131" spans="1:13" x14ac:dyDescent="0.2">
      <c r="A131" s="11"/>
      <c r="B131" s="11"/>
      <c r="C131" s="28">
        <v>43574</v>
      </c>
      <c r="D131" s="14" t="s">
        <v>20</v>
      </c>
      <c r="E131" s="52" t="s">
        <v>21</v>
      </c>
      <c r="F131" s="11"/>
      <c r="G131" s="4"/>
      <c r="H131" s="30">
        <v>1059.5609999999999</v>
      </c>
      <c r="I131" s="31"/>
      <c r="J131" s="43" t="s">
        <v>177</v>
      </c>
      <c r="L131" s="16">
        <v>78</v>
      </c>
      <c r="M131" s="31"/>
    </row>
    <row r="132" spans="1:13" x14ac:dyDescent="0.2">
      <c r="A132" s="11"/>
      <c r="B132" s="11"/>
      <c r="C132" s="28">
        <v>43574</v>
      </c>
      <c r="D132" s="14" t="s">
        <v>20</v>
      </c>
      <c r="E132" s="52" t="s">
        <v>21</v>
      </c>
      <c r="F132" s="11"/>
      <c r="G132" s="4"/>
      <c r="H132" s="30">
        <v>1761</v>
      </c>
      <c r="I132" s="31"/>
      <c r="J132" s="43" t="s">
        <v>114</v>
      </c>
      <c r="K132" s="16">
        <v>0</v>
      </c>
      <c r="L132" s="16">
        <v>1096</v>
      </c>
      <c r="M132" s="31"/>
    </row>
    <row r="133" spans="1:13" x14ac:dyDescent="0.2">
      <c r="A133" s="11"/>
      <c r="B133" s="11"/>
      <c r="C133" s="28">
        <v>43574</v>
      </c>
      <c r="D133" s="14" t="s">
        <v>20</v>
      </c>
      <c r="E133" s="52" t="s">
        <v>21</v>
      </c>
      <c r="F133" s="11"/>
      <c r="G133" s="30"/>
      <c r="H133" s="30">
        <v>1095.443125</v>
      </c>
      <c r="I133" s="31"/>
      <c r="J133" s="32" t="s">
        <v>47</v>
      </c>
      <c r="K133" s="16">
        <v>0</v>
      </c>
      <c r="L133" s="16">
        <v>55655</v>
      </c>
      <c r="M133" s="31"/>
    </row>
    <row r="134" spans="1:13" x14ac:dyDescent="0.2">
      <c r="A134" s="11"/>
      <c r="B134" s="11"/>
      <c r="C134" s="28">
        <v>43574</v>
      </c>
      <c r="D134" s="14" t="s">
        <v>20</v>
      </c>
      <c r="E134" s="52" t="s">
        <v>21</v>
      </c>
      <c r="F134" s="11"/>
      <c r="G134" s="30"/>
      <c r="H134" s="30">
        <v>1686</v>
      </c>
      <c r="I134" s="31"/>
      <c r="J134" s="43" t="s">
        <v>48</v>
      </c>
      <c r="K134" s="16">
        <v>0</v>
      </c>
      <c r="L134" s="16">
        <v>55655</v>
      </c>
      <c r="M134" s="31"/>
    </row>
    <row r="135" spans="1:13" x14ac:dyDescent="0.2">
      <c r="A135" s="11"/>
      <c r="B135" s="11"/>
      <c r="C135" s="28">
        <v>43574</v>
      </c>
      <c r="D135" s="14" t="s">
        <v>23</v>
      </c>
      <c r="E135" s="11" t="s">
        <v>67</v>
      </c>
      <c r="F135" s="11"/>
      <c r="G135" s="30"/>
      <c r="H135" s="30">
        <v>765</v>
      </c>
      <c r="I135" s="31"/>
      <c r="J135" s="32" t="s">
        <v>178</v>
      </c>
      <c r="K135" s="16">
        <v>5000</v>
      </c>
      <c r="M135" s="31"/>
    </row>
    <row r="136" spans="1:13" x14ac:dyDescent="0.2">
      <c r="A136" s="11"/>
      <c r="B136" s="11"/>
      <c r="C136" s="28">
        <v>43574</v>
      </c>
      <c r="D136" s="14" t="s">
        <v>128</v>
      </c>
      <c r="E136" s="11" t="s">
        <v>129</v>
      </c>
      <c r="F136" s="11"/>
      <c r="G136" s="4"/>
      <c r="H136" s="30">
        <v>86.55</v>
      </c>
      <c r="I136" s="31"/>
      <c r="J136" s="43" t="s">
        <v>179</v>
      </c>
      <c r="K136" s="16">
        <v>5000</v>
      </c>
      <c r="M136" s="31"/>
    </row>
    <row r="137" spans="1:13" x14ac:dyDescent="0.2">
      <c r="A137" s="11"/>
      <c r="B137" s="11"/>
      <c r="C137" s="28">
        <v>43574</v>
      </c>
      <c r="D137" s="14" t="s">
        <v>128</v>
      </c>
      <c r="E137" s="11" t="s">
        <v>129</v>
      </c>
      <c r="F137" s="11"/>
      <c r="G137" s="4"/>
      <c r="H137" s="30">
        <v>535.54999999999995</v>
      </c>
      <c r="I137" s="31"/>
      <c r="J137" s="32" t="s">
        <v>180</v>
      </c>
      <c r="K137" s="16">
        <v>1000</v>
      </c>
      <c r="M137" s="31"/>
    </row>
    <row r="138" spans="1:13" x14ac:dyDescent="0.2">
      <c r="A138" s="11"/>
      <c r="B138" s="11"/>
      <c r="C138" s="28">
        <v>43574</v>
      </c>
      <c r="D138" s="14" t="s">
        <v>128</v>
      </c>
      <c r="E138" s="11" t="s">
        <v>129</v>
      </c>
      <c r="F138" s="11"/>
      <c r="G138" s="30"/>
      <c r="H138" s="30">
        <v>86.55</v>
      </c>
      <c r="I138" s="31"/>
      <c r="J138" s="43" t="s">
        <v>181</v>
      </c>
      <c r="K138" s="16">
        <v>1000</v>
      </c>
      <c r="M138" s="31"/>
    </row>
    <row r="139" spans="1:13" x14ac:dyDescent="0.2">
      <c r="A139" s="11"/>
      <c r="B139" s="11"/>
      <c r="C139" s="28">
        <v>43574</v>
      </c>
      <c r="D139" s="14" t="s">
        <v>128</v>
      </c>
      <c r="E139" s="11" t="s">
        <v>129</v>
      </c>
      <c r="F139" s="11"/>
      <c r="G139" s="30"/>
      <c r="H139" s="30">
        <v>535.54999999999995</v>
      </c>
      <c r="I139" s="31"/>
      <c r="J139" s="32" t="s">
        <v>182</v>
      </c>
      <c r="K139" s="16">
        <v>1250</v>
      </c>
      <c r="M139" s="31"/>
    </row>
    <row r="140" spans="1:13" x14ac:dyDescent="0.2">
      <c r="A140" s="11"/>
      <c r="B140" s="11"/>
      <c r="C140" s="28">
        <v>43574</v>
      </c>
      <c r="D140" s="28" t="s">
        <v>144</v>
      </c>
      <c r="E140" s="52" t="s">
        <v>145</v>
      </c>
      <c r="F140" s="52"/>
      <c r="G140" s="30"/>
      <c r="H140" s="30">
        <v>4260</v>
      </c>
      <c r="I140" s="31"/>
      <c r="J140" s="43" t="s">
        <v>183</v>
      </c>
      <c r="K140" s="16">
        <v>1250</v>
      </c>
      <c r="M140" s="31"/>
    </row>
    <row r="141" spans="1:13" x14ac:dyDescent="0.2">
      <c r="A141" s="11"/>
      <c r="B141" s="11"/>
      <c r="C141" s="28">
        <v>43574</v>
      </c>
      <c r="D141" s="29" t="s">
        <v>26</v>
      </c>
      <c r="E141" s="11" t="s">
        <v>40</v>
      </c>
      <c r="F141" s="11"/>
      <c r="G141" s="4"/>
      <c r="H141" s="30">
        <v>10.7</v>
      </c>
      <c r="I141" s="31"/>
      <c r="J141" s="32" t="s">
        <v>184</v>
      </c>
      <c r="K141" s="16">
        <v>9001.7000000000007</v>
      </c>
      <c r="M141" s="31"/>
    </row>
    <row r="142" spans="1:13" x14ac:dyDescent="0.2">
      <c r="A142" s="11"/>
      <c r="B142" s="11"/>
      <c r="C142" s="28">
        <v>43574</v>
      </c>
      <c r="D142" s="29" t="s">
        <v>26</v>
      </c>
      <c r="E142" s="11" t="s">
        <v>40</v>
      </c>
      <c r="F142" s="11"/>
      <c r="G142" s="30"/>
      <c r="H142" s="30">
        <v>0.35</v>
      </c>
      <c r="I142" s="31"/>
      <c r="J142" s="43" t="s">
        <v>168</v>
      </c>
      <c r="K142" s="16">
        <v>8251.7000000000007</v>
      </c>
      <c r="M142" s="31"/>
    </row>
    <row r="143" spans="1:13" x14ac:dyDescent="0.2">
      <c r="A143" s="11"/>
      <c r="B143" s="11"/>
      <c r="C143" s="28">
        <v>43574</v>
      </c>
      <c r="D143" s="14" t="s">
        <v>26</v>
      </c>
      <c r="E143" s="11" t="s">
        <v>136</v>
      </c>
      <c r="F143" s="11"/>
      <c r="G143" s="30"/>
      <c r="H143" s="30">
        <v>50</v>
      </c>
      <c r="I143" s="31"/>
      <c r="J143" s="43" t="s">
        <v>185</v>
      </c>
      <c r="K143" s="16">
        <v>750</v>
      </c>
      <c r="M143" s="31"/>
    </row>
    <row r="144" spans="1:13" x14ac:dyDescent="0.2">
      <c r="A144" s="11"/>
      <c r="B144" s="11"/>
      <c r="C144" s="28">
        <v>43574</v>
      </c>
      <c r="D144" s="29" t="s">
        <v>26</v>
      </c>
      <c r="E144" s="30" t="s">
        <v>154</v>
      </c>
      <c r="F144" s="11"/>
      <c r="G144" s="4"/>
      <c r="H144" s="30">
        <v>500</v>
      </c>
      <c r="I144" s="31"/>
      <c r="J144" s="32" t="s">
        <v>186</v>
      </c>
      <c r="K144" s="16">
        <v>368.55</v>
      </c>
      <c r="M144" s="31"/>
    </row>
    <row r="145" spans="1:13" x14ac:dyDescent="0.2">
      <c r="A145" s="11"/>
      <c r="B145" s="11"/>
      <c r="C145" s="28">
        <v>43574</v>
      </c>
      <c r="D145" s="14" t="s">
        <v>28</v>
      </c>
      <c r="E145" s="11" t="s">
        <v>31</v>
      </c>
      <c r="F145" s="11"/>
      <c r="G145" s="4"/>
      <c r="H145" s="30">
        <v>87.6</v>
      </c>
      <c r="I145" s="31"/>
      <c r="J145" s="43" t="s">
        <v>187</v>
      </c>
      <c r="K145" s="16">
        <v>368.55</v>
      </c>
      <c r="M145" s="31"/>
    </row>
    <row r="146" spans="1:13" x14ac:dyDescent="0.2">
      <c r="A146" s="11"/>
      <c r="B146" s="11"/>
      <c r="C146" s="28">
        <v>43574</v>
      </c>
      <c r="D146" s="14" t="s">
        <v>28</v>
      </c>
      <c r="E146" s="11" t="s">
        <v>31</v>
      </c>
      <c r="F146" s="11"/>
      <c r="G146" s="4"/>
      <c r="H146" s="30">
        <v>183.43</v>
      </c>
      <c r="I146" s="31"/>
      <c r="J146" s="32" t="s">
        <v>188</v>
      </c>
      <c r="K146" s="16">
        <v>1310</v>
      </c>
      <c r="M146" s="31"/>
    </row>
    <row r="147" spans="1:13" x14ac:dyDescent="0.2">
      <c r="A147" s="11"/>
      <c r="B147" s="11"/>
      <c r="C147" s="28">
        <v>43574</v>
      </c>
      <c r="D147" s="14" t="s">
        <v>28</v>
      </c>
      <c r="E147" s="11" t="s">
        <v>31</v>
      </c>
      <c r="F147" s="11"/>
      <c r="G147" s="30"/>
      <c r="H147" s="30">
        <v>91.25</v>
      </c>
      <c r="I147" s="31"/>
      <c r="J147" s="43" t="s">
        <v>189</v>
      </c>
      <c r="K147" s="16">
        <v>1310</v>
      </c>
      <c r="M147" s="31"/>
    </row>
    <row r="148" spans="1:13" x14ac:dyDescent="0.2">
      <c r="A148" s="11"/>
      <c r="B148" s="11"/>
      <c r="C148" s="28">
        <v>43574</v>
      </c>
      <c r="D148" s="14" t="s">
        <v>28</v>
      </c>
      <c r="E148" s="11" t="s">
        <v>31</v>
      </c>
      <c r="F148" s="11"/>
      <c r="G148" s="30"/>
      <c r="H148" s="30">
        <v>172.48</v>
      </c>
      <c r="I148" s="31"/>
      <c r="J148" s="32" t="s">
        <v>190</v>
      </c>
      <c r="K148" s="16">
        <v>493</v>
      </c>
      <c r="M148" s="31"/>
    </row>
    <row r="149" spans="1:13" x14ac:dyDescent="0.2">
      <c r="A149" s="11"/>
      <c r="B149" s="11"/>
      <c r="C149" s="28">
        <v>43574</v>
      </c>
      <c r="D149" s="14" t="s">
        <v>155</v>
      </c>
      <c r="E149" s="11" t="s">
        <v>157</v>
      </c>
      <c r="F149" s="11"/>
      <c r="G149" s="4"/>
      <c r="H149" s="30">
        <v>341</v>
      </c>
      <c r="I149" s="31"/>
      <c r="J149" s="43" t="s">
        <v>191</v>
      </c>
      <c r="K149" s="16">
        <v>493</v>
      </c>
      <c r="M149" s="31"/>
    </row>
    <row r="150" spans="1:13" x14ac:dyDescent="0.2">
      <c r="A150" s="11"/>
      <c r="B150" s="11"/>
      <c r="C150" s="28">
        <v>43574</v>
      </c>
      <c r="D150" s="14" t="s">
        <v>155</v>
      </c>
      <c r="E150" s="11" t="s">
        <v>157</v>
      </c>
      <c r="F150" s="11"/>
      <c r="G150" s="30"/>
      <c r="H150" s="30">
        <v>341</v>
      </c>
      <c r="I150" s="31"/>
      <c r="J150" s="32" t="s">
        <v>85</v>
      </c>
      <c r="K150" s="16">
        <v>482.55</v>
      </c>
      <c r="M150" s="31"/>
    </row>
    <row r="151" spans="1:13" x14ac:dyDescent="0.2">
      <c r="A151" s="11"/>
      <c r="B151" s="11"/>
      <c r="C151" s="28">
        <v>43574</v>
      </c>
      <c r="D151" s="14" t="s">
        <v>33</v>
      </c>
      <c r="E151" s="11" t="s">
        <v>150</v>
      </c>
      <c r="F151" s="11"/>
      <c r="G151" s="30"/>
      <c r="H151" s="30">
        <v>37</v>
      </c>
      <c r="I151" s="31"/>
      <c r="J151" s="43" t="s">
        <v>86</v>
      </c>
      <c r="K151" s="16">
        <v>482.55</v>
      </c>
      <c r="M151" s="31"/>
    </row>
    <row r="152" spans="1:13" x14ac:dyDescent="0.2">
      <c r="A152" s="11"/>
      <c r="B152" s="11"/>
      <c r="C152" s="28">
        <v>43574</v>
      </c>
      <c r="D152" s="29" t="s">
        <v>39</v>
      </c>
      <c r="E152" s="11" t="s">
        <v>154</v>
      </c>
      <c r="F152" s="11"/>
      <c r="G152" s="30"/>
      <c r="H152" s="30">
        <v>500</v>
      </c>
      <c r="I152" s="31"/>
      <c r="J152" s="32" t="s">
        <v>88</v>
      </c>
      <c r="K152" s="16">
        <v>425.29</v>
      </c>
      <c r="M152" s="31"/>
    </row>
    <row r="153" spans="1:13" x14ac:dyDescent="0.2">
      <c r="A153" s="11"/>
      <c r="B153" s="11"/>
      <c r="C153" s="28">
        <v>43574</v>
      </c>
      <c r="D153" s="29" t="s">
        <v>39</v>
      </c>
      <c r="E153" s="11" t="s">
        <v>82</v>
      </c>
      <c r="F153" s="11"/>
      <c r="G153" s="30"/>
      <c r="H153" s="30">
        <v>35</v>
      </c>
      <c r="I153" s="31"/>
      <c r="J153" s="43" t="s">
        <v>192</v>
      </c>
      <c r="K153" s="16">
        <v>99</v>
      </c>
      <c r="M153" s="31"/>
    </row>
    <row r="154" spans="1:13" x14ac:dyDescent="0.2">
      <c r="A154" s="11"/>
      <c r="B154" s="11"/>
      <c r="C154" s="28">
        <v>43574</v>
      </c>
      <c r="D154" s="29" t="s">
        <v>81</v>
      </c>
      <c r="E154" s="11" t="s">
        <v>45</v>
      </c>
      <c r="F154" s="11"/>
      <c r="G154" s="4"/>
      <c r="H154" s="30">
        <v>778.91</v>
      </c>
      <c r="I154" s="31"/>
      <c r="J154" s="43" t="s">
        <v>169</v>
      </c>
      <c r="K154" s="16">
        <v>227.29</v>
      </c>
      <c r="M154" s="31"/>
    </row>
    <row r="155" spans="1:13" x14ac:dyDescent="0.2">
      <c r="A155" s="11"/>
      <c r="B155" s="11"/>
      <c r="C155" s="28">
        <v>43574</v>
      </c>
      <c r="D155" s="29" t="s">
        <v>81</v>
      </c>
      <c r="E155" s="11" t="s">
        <v>45</v>
      </c>
      <c r="F155" s="11"/>
      <c r="G155" s="30"/>
      <c r="H155" s="30">
        <v>850.87</v>
      </c>
      <c r="I155" s="31"/>
      <c r="J155" s="43" t="s">
        <v>89</v>
      </c>
      <c r="K155" s="16">
        <v>99</v>
      </c>
      <c r="M155" s="31"/>
    </row>
    <row r="156" spans="1:13" x14ac:dyDescent="0.2">
      <c r="A156" s="11"/>
      <c r="B156" s="11"/>
      <c r="C156" s="28">
        <v>43574</v>
      </c>
      <c r="D156" s="29" t="s">
        <v>81</v>
      </c>
      <c r="E156" s="15" t="s">
        <v>45</v>
      </c>
      <c r="F156" s="11"/>
      <c r="G156" s="30"/>
      <c r="H156" s="4">
        <v>96.93</v>
      </c>
      <c r="I156" s="31"/>
      <c r="J156" s="32" t="s">
        <v>193</v>
      </c>
      <c r="K156" s="16">
        <v>470</v>
      </c>
      <c r="M156" s="31"/>
    </row>
    <row r="157" spans="1:13" x14ac:dyDescent="0.2">
      <c r="A157" s="11"/>
      <c r="B157" s="11"/>
      <c r="C157" s="28">
        <v>43574</v>
      </c>
      <c r="D157" s="14" t="s">
        <v>113</v>
      </c>
      <c r="E157" s="11" t="s">
        <v>114</v>
      </c>
      <c r="F157" s="11"/>
      <c r="G157" s="30"/>
      <c r="H157" s="30">
        <v>3</v>
      </c>
      <c r="I157" s="31"/>
      <c r="J157" s="43" t="s">
        <v>194</v>
      </c>
      <c r="K157" s="16">
        <v>470</v>
      </c>
      <c r="M157" s="31"/>
    </row>
    <row r="158" spans="1:13" x14ac:dyDescent="0.2">
      <c r="A158" s="11"/>
      <c r="B158" s="11">
        <v>7461</v>
      </c>
      <c r="C158" s="28">
        <v>43585</v>
      </c>
      <c r="D158" s="14" t="s">
        <v>91</v>
      </c>
      <c r="E158" s="15" t="s">
        <v>92</v>
      </c>
      <c r="F158" s="11"/>
      <c r="G158" s="4">
        <v>140</v>
      </c>
      <c r="H158" s="30"/>
      <c r="I158" s="31"/>
      <c r="J158" s="32" t="s">
        <v>91</v>
      </c>
      <c r="K158" s="16">
        <v>409.15</v>
      </c>
      <c r="M158" s="31"/>
    </row>
    <row r="159" spans="1:13" x14ac:dyDescent="0.2">
      <c r="A159" s="11"/>
      <c r="B159" s="11">
        <v>7460</v>
      </c>
      <c r="C159" s="28">
        <v>43585</v>
      </c>
      <c r="D159" s="29" t="s">
        <v>171</v>
      </c>
      <c r="E159" s="11" t="s">
        <v>172</v>
      </c>
      <c r="F159" s="11"/>
      <c r="G159" s="4">
        <v>12015</v>
      </c>
      <c r="H159" s="30"/>
      <c r="I159" s="31"/>
      <c r="J159" s="43" t="s">
        <v>92</v>
      </c>
      <c r="K159" s="16">
        <v>409.15</v>
      </c>
      <c r="M159" s="31"/>
    </row>
    <row r="160" spans="1:13" x14ac:dyDescent="0.2">
      <c r="A160" s="11"/>
      <c r="B160" s="11">
        <v>7469</v>
      </c>
      <c r="C160" s="28">
        <v>43592</v>
      </c>
      <c r="D160" s="14" t="s">
        <v>61</v>
      </c>
      <c r="E160" s="11" t="s">
        <v>62</v>
      </c>
      <c r="F160" s="11"/>
      <c r="G160" s="4">
        <v>80.42</v>
      </c>
      <c r="H160" s="30"/>
      <c r="I160" s="5"/>
      <c r="J160" s="32" t="s">
        <v>51</v>
      </c>
      <c r="K160" s="16">
        <v>968.4</v>
      </c>
      <c r="L160" s="16">
        <v>0</v>
      </c>
      <c r="M160" s="5"/>
    </row>
    <row r="161" spans="1:13" x14ac:dyDescent="0.2">
      <c r="A161" s="11"/>
      <c r="B161" s="11">
        <v>7474</v>
      </c>
      <c r="C161" s="28">
        <v>43592</v>
      </c>
      <c r="D161" s="29" t="s">
        <v>68</v>
      </c>
      <c r="E161" s="11" t="s">
        <v>71</v>
      </c>
      <c r="F161" s="11"/>
      <c r="G161" s="4">
        <v>1890.5</v>
      </c>
      <c r="H161" s="30"/>
      <c r="I161" s="31"/>
      <c r="J161" s="43" t="s">
        <v>94</v>
      </c>
      <c r="K161" s="16">
        <v>480</v>
      </c>
      <c r="M161" s="31"/>
    </row>
    <row r="162" spans="1:13" x14ac:dyDescent="0.2">
      <c r="A162" s="11"/>
      <c r="B162" s="11">
        <v>7469</v>
      </c>
      <c r="C162" s="28">
        <v>43592</v>
      </c>
      <c r="D162" s="29" t="s">
        <v>77</v>
      </c>
      <c r="E162" s="11" t="s">
        <v>78</v>
      </c>
      <c r="F162" s="11"/>
      <c r="G162" s="4">
        <v>84.56</v>
      </c>
      <c r="H162" s="30"/>
      <c r="I162" s="31"/>
      <c r="J162" s="43" t="s">
        <v>52</v>
      </c>
      <c r="K162" s="16">
        <v>93.7</v>
      </c>
      <c r="L162" s="16">
        <v>0</v>
      </c>
      <c r="M162" s="31"/>
    </row>
    <row r="163" spans="1:13" x14ac:dyDescent="0.2">
      <c r="A163" s="11"/>
      <c r="B163" s="11">
        <v>7470</v>
      </c>
      <c r="C163" s="28">
        <v>43592</v>
      </c>
      <c r="D163" s="29" t="s">
        <v>77</v>
      </c>
      <c r="E163" s="11" t="s">
        <v>78</v>
      </c>
      <c r="F163" s="11"/>
      <c r="G163" s="4">
        <v>73.849999999999994</v>
      </c>
      <c r="H163" s="30"/>
      <c r="I163" s="31"/>
      <c r="J163" s="43" t="s">
        <v>195</v>
      </c>
      <c r="K163" s="16">
        <v>394.7</v>
      </c>
      <c r="M163" s="31"/>
    </row>
    <row r="164" spans="1:13" x14ac:dyDescent="0.2">
      <c r="A164" s="11"/>
      <c r="B164" s="11">
        <v>7472</v>
      </c>
      <c r="C164" s="28">
        <v>43592</v>
      </c>
      <c r="D164" s="29" t="s">
        <v>77</v>
      </c>
      <c r="E164" s="11" t="s">
        <v>78</v>
      </c>
      <c r="F164" s="11"/>
      <c r="G164" s="4">
        <v>32</v>
      </c>
      <c r="H164" s="30"/>
      <c r="I164" s="31"/>
      <c r="J164" s="32" t="s">
        <v>96</v>
      </c>
      <c r="K164" s="16">
        <v>2551.35</v>
      </c>
      <c r="M164" s="31"/>
    </row>
    <row r="165" spans="1:13" x14ac:dyDescent="0.2">
      <c r="A165" s="11"/>
      <c r="B165" s="11">
        <v>7473</v>
      </c>
      <c r="C165" s="28">
        <v>43592</v>
      </c>
      <c r="D165" s="29" t="s">
        <v>77</v>
      </c>
      <c r="E165" s="11" t="s">
        <v>78</v>
      </c>
      <c r="F165" s="11"/>
      <c r="G165" s="4">
        <v>12.39</v>
      </c>
      <c r="H165" s="30"/>
      <c r="I165" s="31"/>
      <c r="J165" s="43" t="s">
        <v>196</v>
      </c>
      <c r="K165" s="16">
        <v>85.64</v>
      </c>
      <c r="M165" s="31"/>
    </row>
    <row r="166" spans="1:13" x14ac:dyDescent="0.2">
      <c r="A166" s="11"/>
      <c r="B166" s="11">
        <v>7465</v>
      </c>
      <c r="C166" s="28">
        <v>43592</v>
      </c>
      <c r="D166" s="29" t="s">
        <v>87</v>
      </c>
      <c r="E166" s="11" t="s">
        <v>90</v>
      </c>
      <c r="F166" s="11"/>
      <c r="G166" s="4">
        <v>50</v>
      </c>
      <c r="H166" s="30"/>
      <c r="I166" s="31"/>
      <c r="J166" s="43" t="s">
        <v>97</v>
      </c>
      <c r="K166" s="16">
        <v>2465.71</v>
      </c>
      <c r="M166" s="31"/>
    </row>
    <row r="167" spans="1:13" x14ac:dyDescent="0.2">
      <c r="A167" s="11"/>
      <c r="B167" s="11">
        <v>7464</v>
      </c>
      <c r="C167" s="28">
        <v>43592</v>
      </c>
      <c r="D167" s="29" t="s">
        <v>103</v>
      </c>
      <c r="E167" s="11" t="s">
        <v>104</v>
      </c>
      <c r="F167" s="11"/>
      <c r="G167" s="4">
        <v>260.89999999999998</v>
      </c>
      <c r="H167" s="30"/>
      <c r="I167" s="31"/>
      <c r="J167" s="32" t="s">
        <v>197</v>
      </c>
      <c r="K167" s="16">
        <v>262.5</v>
      </c>
      <c r="M167" s="31"/>
    </row>
    <row r="168" spans="1:13" x14ac:dyDescent="0.2">
      <c r="A168" s="11"/>
      <c r="B168" s="11">
        <v>7467</v>
      </c>
      <c r="C168" s="28">
        <v>43592</v>
      </c>
      <c r="D168" s="29" t="s">
        <v>121</v>
      </c>
      <c r="E168" s="11" t="s">
        <v>123</v>
      </c>
      <c r="F168" s="11"/>
      <c r="G168" s="4">
        <v>147.79</v>
      </c>
      <c r="H168" s="30"/>
      <c r="I168" s="31"/>
      <c r="J168" s="43" t="s">
        <v>198</v>
      </c>
      <c r="K168" s="16">
        <v>262.5</v>
      </c>
      <c r="M168" s="31"/>
    </row>
    <row r="169" spans="1:13" x14ac:dyDescent="0.2">
      <c r="A169" s="11"/>
      <c r="B169" s="11">
        <v>7468</v>
      </c>
      <c r="C169" s="28">
        <v>43592</v>
      </c>
      <c r="D169" s="29" t="s">
        <v>88</v>
      </c>
      <c r="E169" s="11" t="s">
        <v>199</v>
      </c>
      <c r="F169" s="11"/>
      <c r="G169" s="4">
        <v>99</v>
      </c>
      <c r="H169" s="30"/>
      <c r="I169" s="31"/>
      <c r="J169" s="32" t="s">
        <v>200</v>
      </c>
      <c r="K169" s="16">
        <v>192.8</v>
      </c>
      <c r="M169" s="31"/>
    </row>
    <row r="170" spans="1:13" x14ac:dyDescent="0.2">
      <c r="A170" s="11"/>
      <c r="B170" s="11">
        <v>7463</v>
      </c>
      <c r="C170" s="28">
        <v>43592</v>
      </c>
      <c r="D170" s="29" t="s">
        <v>88</v>
      </c>
      <c r="E170" s="11" t="s">
        <v>169</v>
      </c>
      <c r="F170" s="11"/>
      <c r="G170" s="4">
        <v>119.4</v>
      </c>
      <c r="H170" s="30"/>
      <c r="I170" s="31"/>
      <c r="J170" s="43" t="s">
        <v>70</v>
      </c>
      <c r="K170" s="16">
        <v>192.8</v>
      </c>
      <c r="M170" s="31"/>
    </row>
    <row r="171" spans="1:13" x14ac:dyDescent="0.2">
      <c r="A171" s="11"/>
      <c r="B171" s="11">
        <v>7466</v>
      </c>
      <c r="C171" s="28">
        <v>43592</v>
      </c>
      <c r="D171" s="14" t="s">
        <v>91</v>
      </c>
      <c r="E171" s="15" t="s">
        <v>92</v>
      </c>
      <c r="F171" s="11"/>
      <c r="G171" s="4">
        <v>33</v>
      </c>
      <c r="H171" s="30"/>
      <c r="I171" s="31"/>
      <c r="J171" s="32" t="s">
        <v>171</v>
      </c>
      <c r="K171" s="16">
        <v>36015</v>
      </c>
      <c r="M171" s="31"/>
    </row>
    <row r="172" spans="1:13" x14ac:dyDescent="0.2">
      <c r="A172" s="11"/>
      <c r="B172" s="11">
        <v>7471</v>
      </c>
      <c r="C172" s="28">
        <v>43592</v>
      </c>
      <c r="D172" s="29" t="s">
        <v>96</v>
      </c>
      <c r="E172" s="11" t="s">
        <v>97</v>
      </c>
      <c r="F172" s="11"/>
      <c r="G172" s="4">
        <v>287.17</v>
      </c>
      <c r="H172" s="30"/>
      <c r="I172" s="31"/>
      <c r="J172" s="43" t="s">
        <v>172</v>
      </c>
      <c r="K172" s="16">
        <v>36015</v>
      </c>
      <c r="M172" s="31"/>
    </row>
    <row r="173" spans="1:13" x14ac:dyDescent="0.2">
      <c r="A173" s="11"/>
      <c r="B173" s="11">
        <v>7462</v>
      </c>
      <c r="C173" s="28">
        <v>43592</v>
      </c>
      <c r="D173" s="14" t="s">
        <v>57</v>
      </c>
      <c r="E173" s="11" t="s">
        <v>201</v>
      </c>
      <c r="F173" s="11"/>
      <c r="G173" s="4">
        <v>350</v>
      </c>
      <c r="H173" s="30"/>
      <c r="I173" s="31"/>
      <c r="J173" s="32" t="s">
        <v>115</v>
      </c>
      <c r="K173" s="16">
        <v>867.35</v>
      </c>
      <c r="M173" s="31"/>
    </row>
    <row r="174" spans="1:13" x14ac:dyDescent="0.2">
      <c r="A174" s="11"/>
      <c r="B174" s="11">
        <v>7480</v>
      </c>
      <c r="C174" s="28">
        <v>43606</v>
      </c>
      <c r="D174" s="29" t="s">
        <v>15</v>
      </c>
      <c r="E174" s="11" t="s">
        <v>18</v>
      </c>
      <c r="F174" s="11"/>
      <c r="G174" s="4">
        <v>100</v>
      </c>
      <c r="H174" s="30"/>
      <c r="I174" s="31"/>
      <c r="J174" s="43" t="s">
        <v>116</v>
      </c>
      <c r="K174" s="16">
        <v>867.35</v>
      </c>
      <c r="M174" s="31"/>
    </row>
    <row r="175" spans="1:13" x14ac:dyDescent="0.2">
      <c r="A175" s="11"/>
      <c r="B175" s="11">
        <v>7483</v>
      </c>
      <c r="C175" s="28">
        <v>43606</v>
      </c>
      <c r="D175" s="14" t="s">
        <v>107</v>
      </c>
      <c r="E175" s="11" t="s">
        <v>108</v>
      </c>
      <c r="F175" s="11"/>
      <c r="G175" s="4">
        <v>402</v>
      </c>
      <c r="H175" s="30"/>
      <c r="I175" s="31"/>
      <c r="J175" s="32" t="s">
        <v>202</v>
      </c>
      <c r="K175" s="16">
        <v>752</v>
      </c>
      <c r="M175" s="31"/>
    </row>
    <row r="176" spans="1:13" x14ac:dyDescent="0.2">
      <c r="A176" s="11"/>
      <c r="B176" s="11"/>
      <c r="C176" s="28">
        <v>43606</v>
      </c>
      <c r="D176" s="14" t="s">
        <v>23</v>
      </c>
      <c r="E176" s="52" t="s">
        <v>67</v>
      </c>
      <c r="F176" s="52"/>
      <c r="G176" s="30"/>
      <c r="H176" s="30">
        <v>675</v>
      </c>
      <c r="I176" s="31"/>
      <c r="J176" s="43" t="s">
        <v>152</v>
      </c>
      <c r="K176" s="16">
        <v>752</v>
      </c>
      <c r="M176" s="31"/>
    </row>
    <row r="177" spans="1:13" x14ac:dyDescent="0.2">
      <c r="A177" s="11"/>
      <c r="B177" s="11"/>
      <c r="C177" s="28">
        <v>43606</v>
      </c>
      <c r="D177" s="14" t="s">
        <v>23</v>
      </c>
      <c r="E177" s="52" t="s">
        <v>67</v>
      </c>
      <c r="F177" s="52"/>
      <c r="G177" s="30"/>
      <c r="H177" s="30">
        <v>164.22</v>
      </c>
      <c r="I177" s="31"/>
      <c r="J177" s="32" t="s">
        <v>137</v>
      </c>
      <c r="K177" s="16">
        <v>849</v>
      </c>
      <c r="M177" s="31"/>
    </row>
    <row r="178" spans="1:13" x14ac:dyDescent="0.2">
      <c r="A178" s="11"/>
      <c r="B178" s="11"/>
      <c r="C178" s="28">
        <v>43606</v>
      </c>
      <c r="D178" s="14" t="s">
        <v>23</v>
      </c>
      <c r="E178" s="11" t="s">
        <v>140</v>
      </c>
      <c r="F178" s="52"/>
      <c r="G178" s="30"/>
      <c r="H178" s="30">
        <v>17.98</v>
      </c>
      <c r="I178" s="31"/>
      <c r="J178" s="43" t="s">
        <v>162</v>
      </c>
      <c r="K178" s="16">
        <v>595</v>
      </c>
      <c r="M178" s="31"/>
    </row>
    <row r="179" spans="1:13" x14ac:dyDescent="0.2">
      <c r="A179" s="11"/>
      <c r="B179" s="11"/>
      <c r="C179" s="28">
        <v>43606</v>
      </c>
      <c r="D179" s="14" t="s">
        <v>147</v>
      </c>
      <c r="E179" s="52" t="s">
        <v>148</v>
      </c>
      <c r="F179" s="52"/>
      <c r="G179" s="30"/>
      <c r="H179" s="30">
        <v>1890</v>
      </c>
      <c r="I179" s="31"/>
      <c r="J179" s="43" t="s">
        <v>174</v>
      </c>
      <c r="K179" s="16">
        <v>50</v>
      </c>
      <c r="M179" s="31"/>
    </row>
    <row r="180" spans="1:13" x14ac:dyDescent="0.2">
      <c r="A180" s="11"/>
      <c r="B180" s="11"/>
      <c r="C180" s="28">
        <v>43606</v>
      </c>
      <c r="D180" s="14" t="s">
        <v>33</v>
      </c>
      <c r="E180" s="11" t="s">
        <v>150</v>
      </c>
      <c r="F180" s="52"/>
      <c r="G180" s="30"/>
      <c r="H180" s="30">
        <v>37</v>
      </c>
      <c r="I180" s="31"/>
      <c r="J180" s="43" t="s">
        <v>138</v>
      </c>
      <c r="K180" s="16">
        <v>204</v>
      </c>
      <c r="M180" s="31"/>
    </row>
    <row r="181" spans="1:13" x14ac:dyDescent="0.2">
      <c r="A181" s="11"/>
      <c r="B181" s="11"/>
      <c r="C181" s="28">
        <v>43606</v>
      </c>
      <c r="D181" s="14" t="s">
        <v>39</v>
      </c>
      <c r="E181" s="52" t="s">
        <v>160</v>
      </c>
      <c r="F181" s="52"/>
      <c r="G181" s="30"/>
      <c r="H181" s="30">
        <v>70</v>
      </c>
      <c r="I181" s="31"/>
      <c r="J181" s="32" t="s">
        <v>54</v>
      </c>
      <c r="K181" s="16">
        <v>765.56</v>
      </c>
      <c r="M181" s="31"/>
    </row>
    <row r="182" spans="1:13" x14ac:dyDescent="0.2">
      <c r="A182" s="11"/>
      <c r="B182" s="11"/>
      <c r="C182" s="28">
        <v>43606</v>
      </c>
      <c r="D182" s="14" t="s">
        <v>113</v>
      </c>
      <c r="E182" s="11" t="s">
        <v>114</v>
      </c>
      <c r="F182" s="52"/>
      <c r="G182" s="30"/>
      <c r="H182" s="30">
        <v>62</v>
      </c>
      <c r="I182" s="31"/>
      <c r="J182" s="43" t="s">
        <v>55</v>
      </c>
      <c r="K182" s="16">
        <v>765.56</v>
      </c>
      <c r="M182" s="31"/>
    </row>
    <row r="183" spans="1:13" x14ac:dyDescent="0.2">
      <c r="A183" s="11"/>
      <c r="B183" s="11">
        <v>7482</v>
      </c>
      <c r="C183" s="28">
        <v>43606</v>
      </c>
      <c r="D183" s="29" t="s">
        <v>182</v>
      </c>
      <c r="E183" s="11" t="s">
        <v>183</v>
      </c>
      <c r="F183" s="11"/>
      <c r="G183" s="4">
        <v>500</v>
      </c>
      <c r="H183" s="30"/>
      <c r="I183" s="31"/>
      <c r="J183" s="32" t="s">
        <v>203</v>
      </c>
      <c r="K183" s="16">
        <v>1826.03</v>
      </c>
      <c r="M183" s="31"/>
    </row>
    <row r="184" spans="1:13" x14ac:dyDescent="0.2">
      <c r="A184" s="11"/>
      <c r="B184" s="11">
        <v>7477</v>
      </c>
      <c r="C184" s="28">
        <v>43606</v>
      </c>
      <c r="D184" s="14" t="s">
        <v>85</v>
      </c>
      <c r="E184" s="11" t="s">
        <v>86</v>
      </c>
      <c r="F184" s="11"/>
      <c r="G184" s="4">
        <v>48.09</v>
      </c>
      <c r="H184" s="30"/>
      <c r="I184" s="31"/>
      <c r="J184" s="43" t="s">
        <v>204</v>
      </c>
      <c r="K184" s="16">
        <v>1826.03</v>
      </c>
      <c r="M184" s="31"/>
    </row>
    <row r="185" spans="1:13" x14ac:dyDescent="0.2">
      <c r="A185" s="11"/>
      <c r="B185" s="11">
        <v>7479</v>
      </c>
      <c r="C185" s="28">
        <v>43606</v>
      </c>
      <c r="D185" s="14" t="s">
        <v>91</v>
      </c>
      <c r="E185" s="15" t="s">
        <v>92</v>
      </c>
      <c r="F185" s="11"/>
      <c r="G185" s="4">
        <v>25.5</v>
      </c>
      <c r="H185" s="30"/>
      <c r="I185" s="31"/>
      <c r="J185" s="32" t="s">
        <v>205</v>
      </c>
      <c r="K185" s="16">
        <v>2280.4</v>
      </c>
      <c r="M185" s="31"/>
    </row>
    <row r="186" spans="1:13" x14ac:dyDescent="0.2">
      <c r="A186" s="11"/>
      <c r="B186" s="11">
        <v>7481</v>
      </c>
      <c r="C186" s="28">
        <v>43606</v>
      </c>
      <c r="D186" s="29" t="s">
        <v>96</v>
      </c>
      <c r="E186" s="11" t="s">
        <v>97</v>
      </c>
      <c r="F186" s="11"/>
      <c r="G186" s="4">
        <v>157.44999999999999</v>
      </c>
      <c r="H186" s="30"/>
      <c r="I186" s="31"/>
      <c r="J186" s="43" t="s">
        <v>206</v>
      </c>
      <c r="K186" s="16">
        <v>2075.4</v>
      </c>
      <c r="M186" s="31"/>
    </row>
    <row r="187" spans="1:13" x14ac:dyDescent="0.2">
      <c r="A187" s="11"/>
      <c r="B187" s="11">
        <v>7478</v>
      </c>
      <c r="C187" s="28">
        <v>43606</v>
      </c>
      <c r="D187" s="14" t="s">
        <v>100</v>
      </c>
      <c r="E187" s="11" t="s">
        <v>207</v>
      </c>
      <c r="F187" s="11"/>
      <c r="G187" s="4">
        <v>44.52</v>
      </c>
      <c r="H187" s="30"/>
      <c r="I187" s="31"/>
      <c r="J187" s="43" t="s">
        <v>208</v>
      </c>
      <c r="K187" s="16">
        <v>205</v>
      </c>
      <c r="M187" s="31"/>
    </row>
    <row r="188" spans="1:13" x14ac:dyDescent="0.2">
      <c r="A188" s="11"/>
      <c r="B188" s="11">
        <v>7490</v>
      </c>
      <c r="C188" s="28">
        <v>43620</v>
      </c>
      <c r="D188" s="29" t="s">
        <v>38</v>
      </c>
      <c r="E188" s="11" t="s">
        <v>43</v>
      </c>
      <c r="F188" s="11"/>
      <c r="G188" s="4">
        <v>100</v>
      </c>
      <c r="H188" s="30"/>
      <c r="I188" s="31"/>
      <c r="J188" s="32" t="s">
        <v>209</v>
      </c>
      <c r="K188" s="16">
        <v>2100</v>
      </c>
      <c r="M188" s="31"/>
    </row>
    <row r="189" spans="1:13" x14ac:dyDescent="0.2">
      <c r="A189" s="11"/>
      <c r="B189" s="11">
        <v>7487</v>
      </c>
      <c r="C189" s="28">
        <v>43620</v>
      </c>
      <c r="D189" s="14" t="s">
        <v>107</v>
      </c>
      <c r="E189" s="11" t="s">
        <v>112</v>
      </c>
      <c r="F189" s="11"/>
      <c r="G189" s="4">
        <v>4.99</v>
      </c>
      <c r="H189" s="30"/>
      <c r="I189" s="31"/>
      <c r="J189" s="43" t="s">
        <v>210</v>
      </c>
      <c r="K189" s="16">
        <v>2100</v>
      </c>
      <c r="M189" s="31"/>
    </row>
    <row r="190" spans="1:13" x14ac:dyDescent="0.2">
      <c r="A190" s="11"/>
      <c r="B190" s="11">
        <v>7488</v>
      </c>
      <c r="C190" s="28">
        <v>43620</v>
      </c>
      <c r="D190" s="29" t="s">
        <v>131</v>
      </c>
      <c r="E190" s="11" t="s">
        <v>132</v>
      </c>
      <c r="F190" s="11"/>
      <c r="G190" s="4">
        <v>10500</v>
      </c>
      <c r="H190" s="30"/>
      <c r="I190" s="31"/>
      <c r="J190" s="32" t="s">
        <v>211</v>
      </c>
      <c r="K190" s="16">
        <v>28282.5</v>
      </c>
      <c r="M190" s="31"/>
    </row>
    <row r="191" spans="1:13" x14ac:dyDescent="0.2">
      <c r="A191" s="11"/>
      <c r="B191" s="11"/>
      <c r="C191" s="28">
        <v>43620</v>
      </c>
      <c r="D191" s="14" t="s">
        <v>23</v>
      </c>
      <c r="E191" s="11" t="s">
        <v>67</v>
      </c>
      <c r="F191" s="11"/>
      <c r="G191" s="30"/>
      <c r="H191" s="30">
        <v>150</v>
      </c>
      <c r="I191" s="58"/>
      <c r="J191" s="43" t="s">
        <v>212</v>
      </c>
      <c r="K191" s="16">
        <v>28282.5</v>
      </c>
      <c r="M191" s="58"/>
    </row>
    <row r="192" spans="1:13" x14ac:dyDescent="0.2">
      <c r="A192" s="11"/>
      <c r="B192" s="11"/>
      <c r="C192" s="28">
        <v>43620</v>
      </c>
      <c r="D192" s="14" t="s">
        <v>23</v>
      </c>
      <c r="E192" s="52" t="s">
        <v>67</v>
      </c>
      <c r="F192" s="52"/>
      <c r="G192" s="30"/>
      <c r="H192" s="30">
        <v>197</v>
      </c>
      <c r="I192" s="31"/>
      <c r="J192" s="32" t="s">
        <v>57</v>
      </c>
      <c r="K192" s="16">
        <v>3435.59</v>
      </c>
      <c r="L192" s="16">
        <v>0</v>
      </c>
      <c r="M192" s="31"/>
    </row>
    <row r="193" spans="1:13" x14ac:dyDescent="0.2">
      <c r="A193" s="11"/>
      <c r="B193" s="11"/>
      <c r="C193" s="28">
        <v>43620</v>
      </c>
      <c r="D193" s="29" t="s">
        <v>69</v>
      </c>
      <c r="E193" s="52" t="s">
        <v>70</v>
      </c>
      <c r="F193" s="52"/>
      <c r="G193" s="30"/>
      <c r="H193" s="30">
        <v>1283</v>
      </c>
      <c r="I193" s="58"/>
      <c r="J193" s="43" t="s">
        <v>41</v>
      </c>
      <c r="K193" s="16">
        <v>500</v>
      </c>
      <c r="M193" s="58"/>
    </row>
    <row r="194" spans="1:13" x14ac:dyDescent="0.2">
      <c r="A194" s="11"/>
      <c r="B194" s="11"/>
      <c r="C194" s="28">
        <v>43620</v>
      </c>
      <c r="D194" s="14" t="s">
        <v>26</v>
      </c>
      <c r="E194" s="11" t="s">
        <v>136</v>
      </c>
      <c r="F194" s="11"/>
      <c r="G194" s="30"/>
      <c r="H194" s="30">
        <v>39</v>
      </c>
      <c r="I194" s="31"/>
      <c r="J194" s="43" t="s">
        <v>213</v>
      </c>
      <c r="K194" s="16">
        <v>200</v>
      </c>
      <c r="M194" s="31"/>
    </row>
    <row r="195" spans="1:13" x14ac:dyDescent="0.2">
      <c r="A195" s="11"/>
      <c r="B195" s="11"/>
      <c r="C195" s="28">
        <v>43620</v>
      </c>
      <c r="D195" s="14" t="s">
        <v>33</v>
      </c>
      <c r="E195" s="11" t="s">
        <v>150</v>
      </c>
      <c r="F195" s="11"/>
      <c r="G195" s="30"/>
      <c r="H195" s="30">
        <v>39</v>
      </c>
      <c r="I195" s="58"/>
      <c r="J195" s="43" t="s">
        <v>156</v>
      </c>
      <c r="K195" s="16">
        <v>300</v>
      </c>
      <c r="M195" s="58"/>
    </row>
    <row r="196" spans="1:13" x14ac:dyDescent="0.2">
      <c r="A196" s="11"/>
      <c r="B196" s="11"/>
      <c r="C196" s="28">
        <v>43620</v>
      </c>
      <c r="D196" s="14" t="s">
        <v>39</v>
      </c>
      <c r="E196" s="52" t="s">
        <v>160</v>
      </c>
      <c r="F196" s="52"/>
      <c r="G196" s="30"/>
      <c r="H196" s="30">
        <v>100</v>
      </c>
      <c r="I196" s="58"/>
      <c r="J196" s="43" t="s">
        <v>58</v>
      </c>
      <c r="K196" s="16">
        <v>609.64</v>
      </c>
      <c r="L196" s="16">
        <v>0</v>
      </c>
      <c r="M196" s="58"/>
    </row>
    <row r="197" spans="1:13" x14ac:dyDescent="0.2">
      <c r="A197" s="11"/>
      <c r="B197" s="11"/>
      <c r="C197" s="28">
        <v>43620</v>
      </c>
      <c r="D197" s="29" t="s">
        <v>167</v>
      </c>
      <c r="E197" s="11" t="s">
        <v>168</v>
      </c>
      <c r="F197" s="11"/>
      <c r="G197" s="30"/>
      <c r="H197" s="30">
        <v>4642.5</v>
      </c>
      <c r="I197" s="31"/>
      <c r="J197" s="43" t="s">
        <v>214</v>
      </c>
      <c r="K197" s="16">
        <v>350</v>
      </c>
      <c r="M197" s="31"/>
    </row>
    <row r="198" spans="1:13" x14ac:dyDescent="0.2">
      <c r="A198" s="11"/>
      <c r="B198" s="11"/>
      <c r="C198" s="28">
        <v>43620</v>
      </c>
      <c r="D198" s="29" t="s">
        <v>167</v>
      </c>
      <c r="E198" s="11" t="s">
        <v>168</v>
      </c>
      <c r="F198" s="11"/>
      <c r="G198" s="30"/>
      <c r="H198" s="4">
        <v>3609</v>
      </c>
      <c r="I198" s="31"/>
      <c r="J198" s="43" t="s">
        <v>176</v>
      </c>
      <c r="K198" s="16">
        <v>1475.95</v>
      </c>
      <c r="M198" s="31"/>
    </row>
    <row r="199" spans="1:13" x14ac:dyDescent="0.2">
      <c r="A199" s="11"/>
      <c r="B199" s="11"/>
      <c r="C199" s="28">
        <v>43620</v>
      </c>
      <c r="D199" s="29" t="s">
        <v>175</v>
      </c>
      <c r="E199" s="11" t="s">
        <v>145</v>
      </c>
      <c r="F199" s="11"/>
      <c r="G199" s="30"/>
      <c r="H199" s="30">
        <v>22000</v>
      </c>
      <c r="I199" s="31"/>
      <c r="J199" s="32" t="s">
        <v>60</v>
      </c>
      <c r="K199" s="16">
        <v>2320.15</v>
      </c>
      <c r="M199" s="31"/>
    </row>
    <row r="200" spans="1:13" x14ac:dyDescent="0.2">
      <c r="A200" s="11"/>
      <c r="B200" s="11"/>
      <c r="C200" s="28">
        <v>43620</v>
      </c>
      <c r="D200" s="14" t="s">
        <v>113</v>
      </c>
      <c r="E200" s="11" t="s">
        <v>114</v>
      </c>
      <c r="F200" s="11"/>
      <c r="G200" s="30"/>
      <c r="H200" s="30">
        <v>63</v>
      </c>
      <c r="I200" s="31"/>
      <c r="J200" s="43" t="s">
        <v>45</v>
      </c>
      <c r="K200" s="16">
        <v>2320.15</v>
      </c>
      <c r="M200" s="31"/>
    </row>
    <row r="201" spans="1:13" x14ac:dyDescent="0.2">
      <c r="A201" s="11"/>
      <c r="B201" s="11">
        <v>7486</v>
      </c>
      <c r="C201" s="28">
        <v>43620</v>
      </c>
      <c r="D201" s="29" t="s">
        <v>96</v>
      </c>
      <c r="E201" s="11" t="s">
        <v>97</v>
      </c>
      <c r="F201" s="11"/>
      <c r="G201" s="4">
        <v>160.69999999999999</v>
      </c>
      <c r="H201" s="30"/>
      <c r="I201" s="31"/>
      <c r="J201" s="32" t="s">
        <v>215</v>
      </c>
      <c r="K201" s="16">
        <v>723.76</v>
      </c>
      <c r="M201" s="31"/>
    </row>
    <row r="202" spans="1:13" x14ac:dyDescent="0.2">
      <c r="A202" s="11"/>
      <c r="B202" s="11">
        <v>7484</v>
      </c>
      <c r="C202" s="28">
        <v>43620</v>
      </c>
      <c r="D202" s="29" t="s">
        <v>200</v>
      </c>
      <c r="E202" s="11" t="s">
        <v>70</v>
      </c>
      <c r="F202" s="11"/>
      <c r="G202" s="4">
        <v>64.34</v>
      </c>
      <c r="H202" s="30"/>
      <c r="I202" s="31"/>
      <c r="J202" s="43" t="s">
        <v>216</v>
      </c>
      <c r="K202" s="16">
        <v>723.76</v>
      </c>
      <c r="M202" s="31"/>
    </row>
    <row r="203" spans="1:13" x14ac:dyDescent="0.2">
      <c r="A203" s="11"/>
      <c r="B203" s="11">
        <v>7489</v>
      </c>
      <c r="C203" s="28">
        <v>43620</v>
      </c>
      <c r="D203" s="14" t="s">
        <v>57</v>
      </c>
      <c r="E203" s="11" t="s">
        <v>41</v>
      </c>
      <c r="F203" s="11"/>
      <c r="G203" s="4">
        <v>500</v>
      </c>
      <c r="H203" s="30"/>
      <c r="I203" s="31"/>
      <c r="J203" s="32" t="s">
        <v>100</v>
      </c>
      <c r="K203" s="16">
        <v>2598.96</v>
      </c>
      <c r="M203" s="31"/>
    </row>
    <row r="204" spans="1:13" x14ac:dyDescent="0.2">
      <c r="A204" s="11"/>
      <c r="B204" s="11">
        <v>7485</v>
      </c>
      <c r="C204" s="28">
        <v>43620</v>
      </c>
      <c r="D204" s="29" t="s">
        <v>100</v>
      </c>
      <c r="E204" s="11" t="s">
        <v>217</v>
      </c>
      <c r="F204" s="11"/>
      <c r="G204" s="4">
        <v>21.61</v>
      </c>
      <c r="H204" s="30"/>
      <c r="I204" s="31"/>
      <c r="J204" s="43" t="s">
        <v>218</v>
      </c>
      <c r="K204" s="16">
        <v>190.28</v>
      </c>
      <c r="M204" s="31"/>
    </row>
    <row r="205" spans="1:13" x14ac:dyDescent="0.2">
      <c r="A205" s="11"/>
      <c r="B205" s="11">
        <v>7499</v>
      </c>
      <c r="C205" s="28">
        <v>43634</v>
      </c>
      <c r="D205" s="29" t="s">
        <v>49</v>
      </c>
      <c r="E205" s="11" t="s">
        <v>53</v>
      </c>
      <c r="F205" s="11"/>
      <c r="G205" s="4">
        <v>2000</v>
      </c>
      <c r="H205" s="30"/>
      <c r="I205" s="31"/>
      <c r="J205" s="43" t="s">
        <v>217</v>
      </c>
      <c r="K205" s="16">
        <v>21.61</v>
      </c>
      <c r="M205" s="31"/>
    </row>
    <row r="206" spans="1:13" x14ac:dyDescent="0.2">
      <c r="A206" s="11"/>
      <c r="B206" s="11">
        <v>7500</v>
      </c>
      <c r="C206" s="28">
        <v>43634</v>
      </c>
      <c r="D206" s="29" t="s">
        <v>56</v>
      </c>
      <c r="E206" s="11" t="s">
        <v>59</v>
      </c>
      <c r="F206" s="11"/>
      <c r="G206" s="4">
        <v>1000</v>
      </c>
      <c r="H206" s="30"/>
      <c r="I206" s="31"/>
      <c r="J206" s="43" t="s">
        <v>158</v>
      </c>
      <c r="K206" s="16">
        <v>43.82</v>
      </c>
      <c r="M206" s="31"/>
    </row>
    <row r="207" spans="1:13" x14ac:dyDescent="0.2">
      <c r="A207" s="11"/>
      <c r="B207" s="11">
        <v>7498</v>
      </c>
      <c r="C207" s="28">
        <v>43634</v>
      </c>
      <c r="D207" s="29" t="s">
        <v>98</v>
      </c>
      <c r="E207" s="11" t="s">
        <v>99</v>
      </c>
      <c r="F207" s="11"/>
      <c r="G207" s="4">
        <v>725.38</v>
      </c>
      <c r="H207" s="30"/>
      <c r="I207" s="31"/>
      <c r="J207" s="43" t="s">
        <v>219</v>
      </c>
      <c r="K207" s="16">
        <v>26.7</v>
      </c>
      <c r="M207" s="31"/>
    </row>
    <row r="208" spans="1:13" x14ac:dyDescent="0.2">
      <c r="A208" s="11"/>
      <c r="B208" s="11">
        <v>7495</v>
      </c>
      <c r="C208" s="28">
        <v>43634</v>
      </c>
      <c r="D208" s="29" t="s">
        <v>98</v>
      </c>
      <c r="E208" s="11" t="s">
        <v>102</v>
      </c>
      <c r="F208" s="11"/>
      <c r="G208" s="4">
        <v>9000</v>
      </c>
      <c r="H208" s="30"/>
      <c r="I208" s="31"/>
      <c r="J208" s="43" t="s">
        <v>220</v>
      </c>
      <c r="K208" s="16">
        <v>1300</v>
      </c>
      <c r="M208" s="31"/>
    </row>
    <row r="209" spans="1:13" x14ac:dyDescent="0.2">
      <c r="A209" s="11"/>
      <c r="B209" s="11">
        <v>7496</v>
      </c>
      <c r="C209" s="28">
        <v>43634</v>
      </c>
      <c r="D209" s="29" t="s">
        <v>98</v>
      </c>
      <c r="E209" s="11" t="s">
        <v>102</v>
      </c>
      <c r="F209" s="11"/>
      <c r="G209" s="4">
        <v>191.5</v>
      </c>
      <c r="H209" s="30"/>
      <c r="I209" s="31"/>
      <c r="J209" s="43" t="s">
        <v>221</v>
      </c>
      <c r="K209" s="16">
        <v>0</v>
      </c>
      <c r="M209" s="31"/>
    </row>
    <row r="210" spans="1:13" x14ac:dyDescent="0.2">
      <c r="A210" s="11"/>
      <c r="B210" s="11">
        <v>7492</v>
      </c>
      <c r="C210" s="28">
        <v>43634</v>
      </c>
      <c r="D210" s="14" t="s">
        <v>105</v>
      </c>
      <c r="E210" s="11" t="s">
        <v>106</v>
      </c>
      <c r="F210" s="11"/>
      <c r="G210" s="4">
        <v>251.85</v>
      </c>
      <c r="H210" s="30"/>
      <c r="I210" s="31"/>
      <c r="J210" s="43" t="s">
        <v>139</v>
      </c>
      <c r="K210" s="16">
        <v>59.89</v>
      </c>
      <c r="M210" s="31"/>
    </row>
    <row r="211" spans="1:13" x14ac:dyDescent="0.2">
      <c r="A211" s="11"/>
      <c r="B211" s="11">
        <v>7501</v>
      </c>
      <c r="C211" s="28">
        <v>43634</v>
      </c>
      <c r="D211" s="29" t="s">
        <v>63</v>
      </c>
      <c r="E211" s="11" t="s">
        <v>64</v>
      </c>
      <c r="F211" s="11"/>
      <c r="G211" s="4">
        <v>125</v>
      </c>
      <c r="H211" s="30"/>
      <c r="I211" s="31"/>
      <c r="J211" s="43" t="s">
        <v>207</v>
      </c>
      <c r="K211" s="16">
        <v>446.89</v>
      </c>
      <c r="M211" s="31"/>
    </row>
    <row r="212" spans="1:13" x14ac:dyDescent="0.2">
      <c r="A212" s="11"/>
      <c r="B212" s="11">
        <v>7493</v>
      </c>
      <c r="C212" s="28">
        <v>43634</v>
      </c>
      <c r="D212" s="29" t="s">
        <v>96</v>
      </c>
      <c r="E212" s="11" t="s">
        <v>97</v>
      </c>
      <c r="F212" s="11"/>
      <c r="G212" s="4">
        <v>161.91999999999999</v>
      </c>
      <c r="H212" s="30"/>
      <c r="I212" s="31"/>
      <c r="J212" s="43" t="s">
        <v>101</v>
      </c>
      <c r="K212" s="16">
        <v>509.77</v>
      </c>
      <c r="M212" s="31"/>
    </row>
    <row r="213" spans="1:13" x14ac:dyDescent="0.2">
      <c r="A213" s="11"/>
      <c r="B213" s="11">
        <v>7497</v>
      </c>
      <c r="C213" s="28">
        <v>43634</v>
      </c>
      <c r="D213" s="29" t="s">
        <v>200</v>
      </c>
      <c r="E213" s="11" t="s">
        <v>70</v>
      </c>
      <c r="F213" s="11"/>
      <c r="G213" s="4">
        <v>128.46</v>
      </c>
      <c r="H213" s="30"/>
      <c r="I213" s="31"/>
      <c r="J213" s="32" t="s">
        <v>119</v>
      </c>
      <c r="K213" s="16">
        <v>15</v>
      </c>
      <c r="M213" s="31"/>
    </row>
    <row r="214" spans="1:13" x14ac:dyDescent="0.2">
      <c r="A214" s="11"/>
      <c r="B214" s="11">
        <v>7494</v>
      </c>
      <c r="C214" s="28">
        <v>43634</v>
      </c>
      <c r="D214" s="29" t="s">
        <v>100</v>
      </c>
      <c r="E214" s="11" t="s">
        <v>221</v>
      </c>
      <c r="F214" s="11"/>
      <c r="G214" s="4">
        <v>0</v>
      </c>
      <c r="H214" s="30"/>
      <c r="I214" s="31"/>
      <c r="J214" s="43" t="s">
        <v>120</v>
      </c>
      <c r="K214" s="16">
        <v>15</v>
      </c>
      <c r="M214" s="31"/>
    </row>
    <row r="215" spans="1:13" x14ac:dyDescent="0.2">
      <c r="A215" s="11"/>
      <c r="B215" s="11">
        <v>7491</v>
      </c>
      <c r="C215" s="28">
        <v>43634</v>
      </c>
      <c r="D215" s="14" t="s">
        <v>100</v>
      </c>
      <c r="E215" s="11" t="s">
        <v>207</v>
      </c>
      <c r="F215" s="11"/>
      <c r="G215" s="4">
        <v>72.08</v>
      </c>
      <c r="H215" s="30"/>
      <c r="I215" s="31"/>
      <c r="J215" s="32" t="s">
        <v>163</v>
      </c>
      <c r="K215" s="16">
        <v>122</v>
      </c>
      <c r="M215" s="31"/>
    </row>
    <row r="216" spans="1:13" x14ac:dyDescent="0.2">
      <c r="A216" s="11"/>
      <c r="B216" s="11">
        <v>7504</v>
      </c>
      <c r="C216" s="28">
        <v>43662</v>
      </c>
      <c r="D216" s="29" t="s">
        <v>107</v>
      </c>
      <c r="E216" s="11" t="s">
        <v>108</v>
      </c>
      <c r="F216" s="11"/>
      <c r="G216" s="30">
        <v>119.93</v>
      </c>
      <c r="H216" s="30"/>
      <c r="I216" s="31"/>
      <c r="J216" s="43" t="s">
        <v>164</v>
      </c>
      <c r="K216" s="16">
        <v>32</v>
      </c>
      <c r="M216" s="31"/>
    </row>
    <row r="217" spans="1:13" x14ac:dyDescent="0.2">
      <c r="A217" s="11"/>
      <c r="B217" s="11">
        <v>7502</v>
      </c>
      <c r="C217" s="28">
        <v>43662</v>
      </c>
      <c r="D217" s="29" t="s">
        <v>184</v>
      </c>
      <c r="E217" s="11" t="s">
        <v>222</v>
      </c>
      <c r="F217" s="11"/>
      <c r="G217" s="30">
        <v>8251.7000000000007</v>
      </c>
      <c r="H217" s="30"/>
      <c r="I217" s="31"/>
      <c r="J217" s="43" t="s">
        <v>166</v>
      </c>
      <c r="K217" s="16">
        <v>90</v>
      </c>
      <c r="M217" s="31"/>
    </row>
    <row r="218" spans="1:13" x14ac:dyDescent="0.2">
      <c r="A218" s="11"/>
      <c r="B218" s="11">
        <v>7505</v>
      </c>
      <c r="C218" s="28">
        <v>43662</v>
      </c>
      <c r="D218" s="29" t="s">
        <v>186</v>
      </c>
      <c r="E218" s="11" t="s">
        <v>187</v>
      </c>
      <c r="F218" s="11"/>
      <c r="G218" s="30">
        <v>368.55</v>
      </c>
      <c r="H218" s="30"/>
      <c r="I218" s="31"/>
      <c r="J218" s="32" t="s">
        <v>223</v>
      </c>
      <c r="K218" s="16">
        <v>0</v>
      </c>
      <c r="M218" s="31"/>
    </row>
    <row r="219" spans="1:13" x14ac:dyDescent="0.2">
      <c r="A219" s="11"/>
      <c r="B219" s="11">
        <v>7507</v>
      </c>
      <c r="C219" s="28">
        <v>43662</v>
      </c>
      <c r="D219" s="29" t="s">
        <v>190</v>
      </c>
      <c r="E219" s="11" t="s">
        <v>191</v>
      </c>
      <c r="F219" s="11"/>
      <c r="G219" s="30">
        <v>493</v>
      </c>
      <c r="H219" s="30"/>
      <c r="I219" s="31"/>
      <c r="J219" s="43" t="s">
        <v>122</v>
      </c>
      <c r="K219" s="16">
        <v>0</v>
      </c>
      <c r="M219" s="31"/>
    </row>
    <row r="220" spans="1:13" x14ac:dyDescent="0.2">
      <c r="A220" s="11"/>
      <c r="B220" s="11">
        <v>7506</v>
      </c>
      <c r="C220" s="28">
        <v>43662</v>
      </c>
      <c r="D220" s="29" t="s">
        <v>85</v>
      </c>
      <c r="E220" s="11" t="s">
        <v>86</v>
      </c>
      <c r="F220" s="11"/>
      <c r="G220" s="30">
        <v>48.09</v>
      </c>
      <c r="H220" s="30"/>
      <c r="I220" s="31"/>
      <c r="J220" s="32" t="s">
        <v>224</v>
      </c>
      <c r="K220" s="16">
        <v>164231.4</v>
      </c>
      <c r="L220" s="16">
        <v>168860.72862499999</v>
      </c>
      <c r="M220" s="31"/>
    </row>
    <row r="221" spans="1:13" x14ac:dyDescent="0.2">
      <c r="A221" s="11"/>
      <c r="B221" s="11">
        <v>7509</v>
      </c>
      <c r="C221" s="28">
        <v>43662</v>
      </c>
      <c r="D221" s="29" t="s">
        <v>51</v>
      </c>
      <c r="E221" s="11" t="s">
        <v>195</v>
      </c>
      <c r="F221" s="11"/>
      <c r="G221" s="30">
        <v>144.65</v>
      </c>
      <c r="H221" s="30"/>
      <c r="I221" s="31"/>
      <c r="M221" s="31"/>
    </row>
    <row r="222" spans="1:13" x14ac:dyDescent="0.2">
      <c r="A222" s="11"/>
      <c r="B222" s="11">
        <v>7507</v>
      </c>
      <c r="C222" s="28">
        <v>43662</v>
      </c>
      <c r="D222" s="29" t="s">
        <v>197</v>
      </c>
      <c r="E222" s="11" t="s">
        <v>198</v>
      </c>
      <c r="F222" s="11"/>
      <c r="G222" s="30">
        <v>262.5</v>
      </c>
      <c r="H222" s="30"/>
      <c r="I222" s="31"/>
      <c r="M222" s="31"/>
    </row>
    <row r="223" spans="1:13" x14ac:dyDescent="0.2">
      <c r="A223" s="11"/>
      <c r="B223" s="11">
        <v>7510</v>
      </c>
      <c r="C223" s="28">
        <v>43662</v>
      </c>
      <c r="D223" s="29" t="s">
        <v>203</v>
      </c>
      <c r="E223" s="11" t="s">
        <v>204</v>
      </c>
      <c r="F223" s="11"/>
      <c r="G223" s="30">
        <v>1826.03</v>
      </c>
      <c r="H223" s="30"/>
      <c r="I223" s="31"/>
      <c r="M223" s="31"/>
    </row>
    <row r="224" spans="1:13" x14ac:dyDescent="0.2">
      <c r="A224" s="11"/>
      <c r="B224" s="11">
        <v>7508</v>
      </c>
      <c r="C224" s="28">
        <v>43662</v>
      </c>
      <c r="D224" s="29" t="s">
        <v>209</v>
      </c>
      <c r="E224" s="11" t="s">
        <v>210</v>
      </c>
      <c r="F224" s="11"/>
      <c r="G224" s="30">
        <v>2100</v>
      </c>
      <c r="H224" s="30"/>
      <c r="I224" s="31"/>
      <c r="M224" s="31"/>
    </row>
    <row r="225" spans="1:13" x14ac:dyDescent="0.2">
      <c r="A225" s="11"/>
      <c r="B225" s="11">
        <v>7503</v>
      </c>
      <c r="C225" s="28">
        <v>43662</v>
      </c>
      <c r="D225" s="29" t="s">
        <v>60</v>
      </c>
      <c r="E225" s="11" t="s">
        <v>45</v>
      </c>
      <c r="F225" s="11"/>
      <c r="G225" s="30">
        <v>662.84</v>
      </c>
      <c r="H225" s="30"/>
      <c r="I225" s="31"/>
      <c r="M225" s="31"/>
    </row>
    <row r="226" spans="1:13" x14ac:dyDescent="0.2">
      <c r="A226" s="11"/>
      <c r="B226" s="11">
        <v>7507</v>
      </c>
      <c r="C226" s="28">
        <v>43662</v>
      </c>
      <c r="D226" s="29" t="s">
        <v>215</v>
      </c>
      <c r="E226" s="11" t="s">
        <v>216</v>
      </c>
      <c r="F226" s="11"/>
      <c r="G226" s="30">
        <v>723.76</v>
      </c>
      <c r="H226" s="30"/>
      <c r="I226" s="31"/>
      <c r="M226" s="31"/>
    </row>
    <row r="227" spans="1:13" x14ac:dyDescent="0.2">
      <c r="A227" s="11"/>
      <c r="B227" s="11">
        <v>7507</v>
      </c>
      <c r="C227" s="28">
        <v>43662</v>
      </c>
      <c r="D227" s="29" t="s">
        <v>100</v>
      </c>
      <c r="E227" s="11" t="s">
        <v>207</v>
      </c>
      <c r="F227" s="11"/>
      <c r="G227" s="30">
        <v>92.28</v>
      </c>
      <c r="H227" s="30"/>
      <c r="I227" s="31"/>
      <c r="M227" s="31"/>
    </row>
    <row r="228" spans="1:13" x14ac:dyDescent="0.2">
      <c r="A228" s="11"/>
      <c r="B228" s="11"/>
      <c r="C228" s="28">
        <v>43665</v>
      </c>
      <c r="D228" s="29" t="s">
        <v>20</v>
      </c>
      <c r="E228" s="52" t="s">
        <v>21</v>
      </c>
      <c r="F228" s="11"/>
      <c r="G228" s="30"/>
      <c r="H228" s="30">
        <v>57</v>
      </c>
      <c r="I228" s="31"/>
      <c r="M228" s="31"/>
    </row>
    <row r="229" spans="1:13" x14ac:dyDescent="0.2">
      <c r="A229" s="11"/>
      <c r="B229" s="11"/>
      <c r="C229" s="28">
        <v>43665</v>
      </c>
      <c r="D229" s="29" t="s">
        <v>20</v>
      </c>
      <c r="E229" s="52" t="s">
        <v>21</v>
      </c>
      <c r="F229" s="11"/>
      <c r="G229" s="30"/>
      <c r="H229" s="59">
        <v>35.880000000000003</v>
      </c>
      <c r="I229" s="31"/>
      <c r="M229" s="31"/>
    </row>
    <row r="230" spans="1:13" x14ac:dyDescent="0.2">
      <c r="A230" s="11"/>
      <c r="B230" s="11"/>
      <c r="C230" s="28">
        <v>43665</v>
      </c>
      <c r="D230" s="29" t="s">
        <v>69</v>
      </c>
      <c r="E230" s="11" t="s">
        <v>70</v>
      </c>
      <c r="F230" s="11"/>
      <c r="G230" s="30"/>
      <c r="H230" s="30">
        <v>3150</v>
      </c>
      <c r="I230" s="31"/>
      <c r="M230" s="31"/>
    </row>
    <row r="231" spans="1:13" x14ac:dyDescent="0.2">
      <c r="A231" s="11"/>
      <c r="B231" s="11"/>
      <c r="C231" s="28">
        <v>43665</v>
      </c>
      <c r="D231" s="29" t="s">
        <v>26</v>
      </c>
      <c r="E231" s="11" t="s">
        <v>136</v>
      </c>
      <c r="F231" s="11"/>
      <c r="G231" s="30"/>
      <c r="H231" s="59">
        <v>20</v>
      </c>
      <c r="I231" s="31"/>
      <c r="M231" s="31"/>
    </row>
    <row r="232" spans="1:13" x14ac:dyDescent="0.2">
      <c r="A232" s="11"/>
      <c r="B232" s="11"/>
      <c r="C232" s="28">
        <v>43665</v>
      </c>
      <c r="D232" s="29" t="s">
        <v>28</v>
      </c>
      <c r="E232" s="11" t="s">
        <v>31</v>
      </c>
      <c r="F232" s="11"/>
      <c r="G232" s="30"/>
      <c r="H232" s="30">
        <v>3.65</v>
      </c>
      <c r="I232" s="31"/>
      <c r="M232" s="31"/>
    </row>
    <row r="233" spans="1:13" x14ac:dyDescent="0.2">
      <c r="A233" s="11"/>
      <c r="B233" s="11"/>
      <c r="C233" s="28">
        <v>43665</v>
      </c>
      <c r="D233" s="29" t="s">
        <v>28</v>
      </c>
      <c r="E233" s="11" t="s">
        <v>31</v>
      </c>
      <c r="F233" s="11"/>
      <c r="G233" s="30"/>
      <c r="H233" s="59">
        <v>3.65</v>
      </c>
      <c r="I233" s="31"/>
      <c r="M233" s="31"/>
    </row>
    <row r="234" spans="1:13" x14ac:dyDescent="0.2">
      <c r="A234" s="11"/>
      <c r="B234" s="11"/>
      <c r="C234" s="28">
        <v>43665</v>
      </c>
      <c r="D234" s="29" t="s">
        <v>36</v>
      </c>
      <c r="E234" s="11" t="s">
        <v>111</v>
      </c>
      <c r="F234" s="11"/>
      <c r="G234" s="30"/>
      <c r="H234" s="59">
        <v>15</v>
      </c>
      <c r="I234" s="31"/>
      <c r="M234" s="31"/>
    </row>
    <row r="235" spans="1:13" x14ac:dyDescent="0.2">
      <c r="A235" s="11"/>
      <c r="B235" s="11">
        <v>7515</v>
      </c>
      <c r="C235" s="28">
        <v>43697</v>
      </c>
      <c r="D235" s="29" t="s">
        <v>117</v>
      </c>
      <c r="E235" s="11" t="s">
        <v>118</v>
      </c>
      <c r="F235" s="11"/>
      <c r="G235" s="30">
        <v>629.26</v>
      </c>
      <c r="H235" s="30"/>
      <c r="I235" s="31"/>
      <c r="M235" s="31"/>
    </row>
    <row r="236" spans="1:13" x14ac:dyDescent="0.2">
      <c r="A236" s="11"/>
      <c r="B236" s="11"/>
      <c r="C236" s="28">
        <v>43697</v>
      </c>
      <c r="D236" s="29" t="s">
        <v>20</v>
      </c>
      <c r="E236" s="52" t="s">
        <v>21</v>
      </c>
      <c r="F236" s="11"/>
      <c r="G236" s="30"/>
      <c r="H236" s="30">
        <v>84</v>
      </c>
      <c r="I236" s="31"/>
      <c r="M236" s="31"/>
    </row>
    <row r="237" spans="1:13" x14ac:dyDescent="0.2">
      <c r="A237" s="11"/>
      <c r="B237" s="11"/>
      <c r="C237" s="28">
        <v>43697</v>
      </c>
      <c r="D237" s="29" t="s">
        <v>20</v>
      </c>
      <c r="E237" s="52" t="s">
        <v>21</v>
      </c>
      <c r="F237" s="11"/>
      <c r="G237" s="30"/>
      <c r="H237" s="30">
        <v>71.864625000000004</v>
      </c>
      <c r="I237" s="31"/>
      <c r="M237" s="31"/>
    </row>
    <row r="238" spans="1:13" x14ac:dyDescent="0.2">
      <c r="A238" s="11"/>
      <c r="B238" s="11"/>
      <c r="C238" s="28">
        <v>43697</v>
      </c>
      <c r="D238" s="29" t="s">
        <v>23</v>
      </c>
      <c r="E238" s="11" t="s">
        <v>136</v>
      </c>
      <c r="F238" s="11"/>
      <c r="G238" s="30"/>
      <c r="H238" s="30">
        <v>40</v>
      </c>
      <c r="I238" s="31"/>
      <c r="M238" s="31"/>
    </row>
    <row r="239" spans="1:13" x14ac:dyDescent="0.2">
      <c r="A239" s="11"/>
      <c r="B239" s="11"/>
      <c r="C239" s="28">
        <v>43697</v>
      </c>
      <c r="D239" s="29" t="s">
        <v>23</v>
      </c>
      <c r="E239" s="11" t="s">
        <v>67</v>
      </c>
      <c r="F239" s="11"/>
      <c r="G239" s="30"/>
      <c r="H239" s="30">
        <v>8.99</v>
      </c>
      <c r="I239" s="31"/>
      <c r="M239" s="31"/>
    </row>
    <row r="240" spans="1:13" x14ac:dyDescent="0.2">
      <c r="A240" s="11"/>
      <c r="B240" s="11"/>
      <c r="C240" s="28">
        <v>43697</v>
      </c>
      <c r="D240" s="29" t="s">
        <v>146</v>
      </c>
      <c r="E240" s="11" t="s">
        <v>145</v>
      </c>
      <c r="F240" s="11"/>
      <c r="G240" s="30"/>
      <c r="H240" s="30">
        <v>75</v>
      </c>
      <c r="I240" s="31"/>
      <c r="M240" s="31"/>
    </row>
    <row r="241" spans="1:13" x14ac:dyDescent="0.2">
      <c r="A241" s="11"/>
      <c r="B241" s="11"/>
      <c r="C241" s="28">
        <v>43697</v>
      </c>
      <c r="D241" s="29" t="s">
        <v>28</v>
      </c>
      <c r="E241" s="11" t="s">
        <v>31</v>
      </c>
      <c r="F241" s="11"/>
      <c r="G241" s="30"/>
      <c r="H241" s="30">
        <v>3.65</v>
      </c>
      <c r="I241" s="31"/>
      <c r="M241" s="31"/>
    </row>
    <row r="242" spans="1:13" x14ac:dyDescent="0.2">
      <c r="A242" s="11"/>
      <c r="B242" s="11"/>
      <c r="C242" s="28">
        <v>43697</v>
      </c>
      <c r="D242" s="29" t="s">
        <v>155</v>
      </c>
      <c r="E242" s="11" t="s">
        <v>157</v>
      </c>
      <c r="F242" s="11"/>
      <c r="G242" s="30"/>
      <c r="H242" s="30">
        <v>293</v>
      </c>
      <c r="I242" s="31"/>
      <c r="M242" s="31"/>
    </row>
    <row r="243" spans="1:13" x14ac:dyDescent="0.2">
      <c r="A243" s="11"/>
      <c r="B243" s="11"/>
      <c r="C243" s="28">
        <v>43697</v>
      </c>
      <c r="D243" s="29" t="s">
        <v>33</v>
      </c>
      <c r="E243" s="11" t="s">
        <v>150</v>
      </c>
      <c r="F243" s="11"/>
      <c r="G243" s="30"/>
      <c r="H243" s="30">
        <v>36</v>
      </c>
      <c r="I243" s="31"/>
      <c r="M243" s="31"/>
    </row>
    <row r="244" spans="1:13" x14ac:dyDescent="0.2">
      <c r="A244" s="11"/>
      <c r="B244" s="11"/>
      <c r="C244" s="28">
        <v>43697</v>
      </c>
      <c r="D244" s="29" t="s">
        <v>36</v>
      </c>
      <c r="E244" s="11" t="s">
        <v>111</v>
      </c>
      <c r="F244" s="11"/>
      <c r="G244" s="30"/>
      <c r="H244" s="30">
        <v>45</v>
      </c>
      <c r="I244" s="31"/>
      <c r="M244" s="31"/>
    </row>
    <row r="245" spans="1:13" x14ac:dyDescent="0.2">
      <c r="A245" s="11"/>
      <c r="B245" s="11"/>
      <c r="C245" s="28">
        <v>43697</v>
      </c>
      <c r="D245" s="29" t="s">
        <v>39</v>
      </c>
      <c r="E245" s="11" t="s">
        <v>160</v>
      </c>
      <c r="F245" s="11"/>
      <c r="G245" s="30"/>
      <c r="H245" s="30">
        <v>45</v>
      </c>
      <c r="I245" s="31"/>
      <c r="M245" s="31"/>
    </row>
    <row r="246" spans="1:13" x14ac:dyDescent="0.2">
      <c r="A246" s="11"/>
      <c r="B246" s="11"/>
      <c r="C246" s="28">
        <v>43697</v>
      </c>
      <c r="D246" s="29" t="s">
        <v>39</v>
      </c>
      <c r="E246" s="11" t="s">
        <v>40</v>
      </c>
      <c r="F246" s="11"/>
      <c r="G246" s="30"/>
      <c r="H246" s="30">
        <v>0.65</v>
      </c>
      <c r="I246" s="31"/>
      <c r="M246" s="31"/>
    </row>
    <row r="247" spans="1:13" x14ac:dyDescent="0.2">
      <c r="A247" s="11"/>
      <c r="B247" s="11"/>
      <c r="C247" s="28">
        <v>43697</v>
      </c>
      <c r="D247" s="29" t="s">
        <v>44</v>
      </c>
      <c r="E247" s="11" t="s">
        <v>45</v>
      </c>
      <c r="F247" s="11"/>
      <c r="G247" s="30"/>
      <c r="H247" s="30">
        <v>243.1</v>
      </c>
      <c r="I247" s="31"/>
      <c r="M247" s="31"/>
    </row>
    <row r="248" spans="1:13" x14ac:dyDescent="0.2">
      <c r="A248" s="11"/>
      <c r="B248" s="11"/>
      <c r="C248" s="28">
        <v>43697</v>
      </c>
      <c r="D248" s="29" t="s">
        <v>113</v>
      </c>
      <c r="E248" s="11" t="s">
        <v>114</v>
      </c>
      <c r="F248" s="11"/>
      <c r="G248" s="30"/>
      <c r="H248" s="30">
        <v>92</v>
      </c>
      <c r="I248" s="31"/>
      <c r="M248" s="31"/>
    </row>
    <row r="249" spans="1:13" x14ac:dyDescent="0.2">
      <c r="A249" s="11"/>
      <c r="B249" s="11">
        <v>7512</v>
      </c>
      <c r="C249" s="28">
        <v>43697</v>
      </c>
      <c r="D249" s="29" t="s">
        <v>85</v>
      </c>
      <c r="E249" s="11" t="s">
        <v>86</v>
      </c>
      <c r="F249" s="11"/>
      <c r="G249" s="30">
        <v>48.61</v>
      </c>
      <c r="H249" s="30"/>
      <c r="I249" s="31"/>
      <c r="M249" s="31"/>
    </row>
    <row r="250" spans="1:13" x14ac:dyDescent="0.2">
      <c r="A250" s="11"/>
      <c r="B250" s="11">
        <v>7514</v>
      </c>
      <c r="C250" s="28">
        <v>43697</v>
      </c>
      <c r="D250" s="29" t="s">
        <v>96</v>
      </c>
      <c r="E250" s="11" t="s">
        <v>196</v>
      </c>
      <c r="F250" s="11"/>
      <c r="G250" s="30">
        <v>85.64</v>
      </c>
      <c r="H250" s="30"/>
      <c r="I250" s="31"/>
      <c r="M250" s="31"/>
    </row>
    <row r="251" spans="1:13" x14ac:dyDescent="0.2">
      <c r="A251" s="11"/>
      <c r="B251" s="11">
        <v>7513</v>
      </c>
      <c r="C251" s="28">
        <v>43697</v>
      </c>
      <c r="D251" s="29" t="s">
        <v>60</v>
      </c>
      <c r="E251" s="11" t="s">
        <v>45</v>
      </c>
      <c r="F251" s="11"/>
      <c r="G251" s="30">
        <v>243.1</v>
      </c>
      <c r="H251" s="30"/>
      <c r="I251" s="31"/>
      <c r="M251" s="31"/>
    </row>
    <row r="252" spans="1:13" x14ac:dyDescent="0.2">
      <c r="A252" s="11"/>
      <c r="B252" s="11">
        <v>7511</v>
      </c>
      <c r="C252" s="28">
        <v>43697</v>
      </c>
      <c r="D252" s="29" t="s">
        <v>100</v>
      </c>
      <c r="E252" s="11" t="s">
        <v>207</v>
      </c>
      <c r="F252" s="11"/>
      <c r="G252" s="30">
        <v>36.25</v>
      </c>
      <c r="H252" s="30"/>
      <c r="I252" s="31"/>
      <c r="M252" s="31"/>
    </row>
    <row r="253" spans="1:13" x14ac:dyDescent="0.2">
      <c r="A253" s="11"/>
      <c r="B253" s="11"/>
      <c r="C253" s="28">
        <v>43711</v>
      </c>
      <c r="D253" s="29" t="s">
        <v>20</v>
      </c>
      <c r="E253" s="11" t="s">
        <v>21</v>
      </c>
      <c r="F253" s="11"/>
      <c r="G253" s="30"/>
      <c r="H253" s="30">
        <v>35.982500000000002</v>
      </c>
      <c r="I253" s="31"/>
      <c r="M253" s="31"/>
    </row>
    <row r="254" spans="1:13" x14ac:dyDescent="0.2">
      <c r="A254" s="11"/>
      <c r="B254" s="11"/>
      <c r="C254" s="28">
        <v>43711</v>
      </c>
      <c r="D254" s="29" t="s">
        <v>26</v>
      </c>
      <c r="E254" s="11" t="s">
        <v>136</v>
      </c>
      <c r="F254" s="11"/>
      <c r="G254" s="30"/>
      <c r="H254" s="30">
        <v>20</v>
      </c>
      <c r="I254" s="31"/>
      <c r="M254" s="31"/>
    </row>
    <row r="255" spans="1:13" x14ac:dyDescent="0.2">
      <c r="A255" s="11"/>
      <c r="B255" s="11"/>
      <c r="C255" s="28">
        <v>43711</v>
      </c>
      <c r="D255" s="29" t="s">
        <v>33</v>
      </c>
      <c r="E255" s="11" t="s">
        <v>150</v>
      </c>
      <c r="F255" s="11"/>
      <c r="G255" s="30"/>
      <c r="H255" s="30">
        <v>28</v>
      </c>
      <c r="I255" s="31"/>
      <c r="M255" s="31"/>
    </row>
    <row r="256" spans="1:13" x14ac:dyDescent="0.2">
      <c r="A256" s="11"/>
      <c r="B256" s="11"/>
      <c r="C256" s="28">
        <v>43711</v>
      </c>
      <c r="D256" s="29" t="s">
        <v>113</v>
      </c>
      <c r="E256" s="11" t="s">
        <v>114</v>
      </c>
      <c r="F256" s="11"/>
      <c r="G256" s="30"/>
      <c r="H256" s="30">
        <v>70</v>
      </c>
      <c r="I256" s="31"/>
      <c r="M256" s="31"/>
    </row>
    <row r="257" spans="1:13" x14ac:dyDescent="0.2">
      <c r="A257" s="11"/>
      <c r="B257" s="11">
        <v>7517</v>
      </c>
      <c r="C257" s="28">
        <v>43711</v>
      </c>
      <c r="D257" s="29" t="s">
        <v>178</v>
      </c>
      <c r="E257" s="11" t="s">
        <v>179</v>
      </c>
      <c r="F257" s="11"/>
      <c r="G257" s="30">
        <v>5000</v>
      </c>
      <c r="H257" s="30"/>
      <c r="I257" s="31"/>
      <c r="M257" s="31"/>
    </row>
    <row r="258" spans="1:13" x14ac:dyDescent="0.2">
      <c r="A258" s="11"/>
      <c r="B258" s="11">
        <v>7519</v>
      </c>
      <c r="C258" s="28">
        <v>43711</v>
      </c>
      <c r="D258" s="29" t="s">
        <v>85</v>
      </c>
      <c r="E258" s="11" t="s">
        <v>86</v>
      </c>
      <c r="F258" s="11"/>
      <c r="G258" s="30">
        <v>48.98</v>
      </c>
      <c r="H258" s="30"/>
      <c r="I258" s="31"/>
      <c r="M258" s="31"/>
    </row>
    <row r="259" spans="1:13" x14ac:dyDescent="0.2">
      <c r="A259" s="11"/>
      <c r="B259" s="11">
        <v>7518</v>
      </c>
      <c r="C259" s="28">
        <v>43711</v>
      </c>
      <c r="D259" s="29" t="s">
        <v>96</v>
      </c>
      <c r="E259" s="11" t="s">
        <v>97</v>
      </c>
      <c r="F259" s="11"/>
      <c r="G259" s="30">
        <v>149.12</v>
      </c>
      <c r="H259" s="30"/>
      <c r="I259" s="31"/>
      <c r="M259" s="31"/>
    </row>
    <row r="260" spans="1:13" x14ac:dyDescent="0.2">
      <c r="A260" s="11"/>
      <c r="B260" s="11">
        <v>7520</v>
      </c>
      <c r="C260" s="28">
        <v>43711</v>
      </c>
      <c r="D260" s="29" t="s">
        <v>96</v>
      </c>
      <c r="E260" s="11" t="s">
        <v>97</v>
      </c>
      <c r="F260" s="11"/>
      <c r="G260" s="30">
        <v>128.08000000000001</v>
      </c>
      <c r="H260" s="30"/>
      <c r="I260" s="31"/>
      <c r="M260" s="31"/>
    </row>
    <row r="261" spans="1:13" x14ac:dyDescent="0.2">
      <c r="A261" s="11"/>
      <c r="B261" s="11">
        <v>7516</v>
      </c>
      <c r="C261" s="28">
        <v>43711</v>
      </c>
      <c r="D261" s="29" t="s">
        <v>100</v>
      </c>
      <c r="E261" s="11" t="s">
        <v>218</v>
      </c>
      <c r="F261" s="11"/>
      <c r="G261" s="30">
        <v>22</v>
      </c>
      <c r="H261" s="30"/>
      <c r="I261" s="31"/>
      <c r="M261" s="31"/>
    </row>
    <row r="262" spans="1:13" x14ac:dyDescent="0.2">
      <c r="A262" s="11"/>
      <c r="B262" s="11"/>
      <c r="C262" s="28">
        <v>43725</v>
      </c>
      <c r="D262" s="29" t="s">
        <v>20</v>
      </c>
      <c r="E262" s="52" t="s">
        <v>21</v>
      </c>
      <c r="F262" s="11"/>
      <c r="G262" s="30"/>
      <c r="H262" s="30">
        <v>72</v>
      </c>
      <c r="I262" s="31"/>
      <c r="M262" s="31"/>
    </row>
    <row r="263" spans="1:13" x14ac:dyDescent="0.2">
      <c r="A263" s="11"/>
      <c r="B263" s="11"/>
      <c r="C263" s="28">
        <v>43725</v>
      </c>
      <c r="D263" s="29" t="s">
        <v>128</v>
      </c>
      <c r="E263" s="11" t="s">
        <v>129</v>
      </c>
      <c r="F263" s="11"/>
      <c r="G263" s="30"/>
      <c r="H263" s="30">
        <v>15</v>
      </c>
      <c r="I263" s="31"/>
      <c r="M263" s="31"/>
    </row>
    <row r="264" spans="1:13" x14ac:dyDescent="0.2">
      <c r="A264" s="11"/>
      <c r="B264" s="11"/>
      <c r="C264" s="28">
        <v>43725</v>
      </c>
      <c r="D264" s="29" t="s">
        <v>151</v>
      </c>
      <c r="E264" s="11" t="s">
        <v>152</v>
      </c>
      <c r="F264" s="11"/>
      <c r="G264" s="30"/>
      <c r="H264" s="30">
        <v>99.24</v>
      </c>
      <c r="I264" s="31"/>
      <c r="M264" s="31"/>
    </row>
    <row r="265" spans="1:13" x14ac:dyDescent="0.2">
      <c r="A265" s="11"/>
      <c r="B265" s="11"/>
      <c r="C265" s="28">
        <v>43725</v>
      </c>
      <c r="D265" s="29" t="s">
        <v>26</v>
      </c>
      <c r="E265" s="11" t="s">
        <v>136</v>
      </c>
      <c r="F265" s="11"/>
      <c r="G265" s="30"/>
      <c r="H265" s="30">
        <v>13</v>
      </c>
      <c r="I265" s="31"/>
      <c r="M265" s="31"/>
    </row>
    <row r="266" spans="1:13" x14ac:dyDescent="0.2">
      <c r="A266" s="11"/>
      <c r="B266" s="11"/>
      <c r="C266" s="28">
        <v>43725</v>
      </c>
      <c r="D266" s="29" t="s">
        <v>33</v>
      </c>
      <c r="E266" s="11" t="s">
        <v>150</v>
      </c>
      <c r="F266" s="11"/>
      <c r="G266" s="30"/>
      <c r="H266" s="30">
        <v>77</v>
      </c>
      <c r="I266" s="31"/>
      <c r="M266" s="31"/>
    </row>
    <row r="267" spans="1:13" x14ac:dyDescent="0.2">
      <c r="A267" s="11"/>
      <c r="B267" s="11"/>
      <c r="C267" s="28">
        <v>43725</v>
      </c>
      <c r="D267" s="29" t="s">
        <v>39</v>
      </c>
      <c r="E267" s="11" t="s">
        <v>159</v>
      </c>
      <c r="F267" s="11"/>
      <c r="G267" s="30"/>
      <c r="H267" s="30">
        <v>246.15</v>
      </c>
      <c r="I267" s="31"/>
      <c r="M267" s="31"/>
    </row>
    <row r="268" spans="1:13" x14ac:dyDescent="0.2">
      <c r="A268" s="11"/>
      <c r="B268" s="11"/>
      <c r="C268" s="28">
        <v>43725</v>
      </c>
      <c r="D268" s="29" t="s">
        <v>39</v>
      </c>
      <c r="E268" s="11" t="s">
        <v>159</v>
      </c>
      <c r="F268" s="11"/>
      <c r="G268" s="30"/>
      <c r="H268" s="30">
        <v>19.149999999999999</v>
      </c>
      <c r="I268" s="31"/>
      <c r="M268" s="31"/>
    </row>
    <row r="269" spans="1:13" x14ac:dyDescent="0.2">
      <c r="A269" s="11"/>
      <c r="B269" s="11"/>
      <c r="C269" s="28">
        <v>43725</v>
      </c>
      <c r="D269" s="29" t="s">
        <v>113</v>
      </c>
      <c r="E269" s="11" t="s">
        <v>114</v>
      </c>
      <c r="F269" s="11"/>
      <c r="G269" s="30"/>
      <c r="H269" s="30">
        <v>79</v>
      </c>
      <c r="I269" s="31"/>
      <c r="J269" s="31"/>
      <c r="K269" s="31"/>
      <c r="L269" s="31"/>
      <c r="M269" s="31"/>
    </row>
    <row r="270" spans="1:13" x14ac:dyDescent="0.2">
      <c r="A270" s="11"/>
      <c r="B270" s="11">
        <v>7527</v>
      </c>
      <c r="C270" s="28">
        <v>43739</v>
      </c>
      <c r="D270" s="29" t="s">
        <v>225</v>
      </c>
      <c r="E270" s="11" t="s">
        <v>41</v>
      </c>
      <c r="F270" s="11"/>
      <c r="G270" s="30">
        <v>500</v>
      </c>
      <c r="H270" s="30"/>
      <c r="I270" s="31"/>
      <c r="J270" s="31"/>
      <c r="K270" s="31"/>
      <c r="L270" s="31"/>
      <c r="M270" s="31"/>
    </row>
    <row r="271" spans="1:13" x14ac:dyDescent="0.2">
      <c r="A271" s="11"/>
      <c r="B271" s="11">
        <v>7529</v>
      </c>
      <c r="C271" s="28">
        <v>43739</v>
      </c>
      <c r="D271" s="29" t="s">
        <v>226</v>
      </c>
      <c r="E271" s="11" t="s">
        <v>227</v>
      </c>
      <c r="F271" s="11"/>
      <c r="G271" s="30">
        <v>90.06</v>
      </c>
      <c r="H271" s="30"/>
      <c r="I271" s="31"/>
      <c r="J271" s="31"/>
      <c r="K271" s="31"/>
      <c r="L271" s="31"/>
      <c r="M271" s="31"/>
    </row>
    <row r="272" spans="1:13" x14ac:dyDescent="0.2">
      <c r="A272" s="11"/>
      <c r="B272" s="11"/>
      <c r="C272" s="28">
        <v>43739</v>
      </c>
      <c r="D272" s="29" t="s">
        <v>23</v>
      </c>
      <c r="E272" s="11" t="s">
        <v>140</v>
      </c>
      <c r="F272" s="11"/>
      <c r="G272" s="30"/>
      <c r="H272" s="30">
        <v>12.98</v>
      </c>
      <c r="I272" s="31"/>
      <c r="J272" s="31"/>
      <c r="K272" s="31"/>
      <c r="L272" s="31"/>
      <c r="M272" s="31"/>
    </row>
    <row r="273" spans="1:13" x14ac:dyDescent="0.2">
      <c r="A273" s="11"/>
      <c r="B273" s="11"/>
      <c r="C273" s="28">
        <v>43739</v>
      </c>
      <c r="D273" s="29" t="s">
        <v>128</v>
      </c>
      <c r="E273" s="11" t="s">
        <v>129</v>
      </c>
      <c r="F273" s="11"/>
      <c r="G273" s="30"/>
      <c r="H273" s="30">
        <v>15</v>
      </c>
      <c r="I273" s="31"/>
      <c r="J273" s="31"/>
      <c r="K273" s="31"/>
      <c r="L273" s="31"/>
      <c r="M273" s="31"/>
    </row>
    <row r="274" spans="1:13" x14ac:dyDescent="0.2">
      <c r="A274" s="11"/>
      <c r="B274" s="11"/>
      <c r="C274" s="28">
        <v>43739</v>
      </c>
      <c r="D274" s="29" t="s">
        <v>151</v>
      </c>
      <c r="E274" s="11" t="s">
        <v>152</v>
      </c>
      <c r="F274" s="11"/>
      <c r="G274" s="30"/>
      <c r="H274" s="30">
        <v>660.76</v>
      </c>
      <c r="I274" s="31"/>
      <c r="J274" s="31"/>
      <c r="K274" s="31"/>
      <c r="L274" s="31"/>
      <c r="M274" s="31"/>
    </row>
    <row r="275" spans="1:13" x14ac:dyDescent="0.2">
      <c r="A275" s="11"/>
      <c r="B275" s="11"/>
      <c r="C275" s="28">
        <v>43739</v>
      </c>
      <c r="D275" s="29" t="s">
        <v>26</v>
      </c>
      <c r="E275" s="11" t="s">
        <v>136</v>
      </c>
      <c r="F275" s="11"/>
      <c r="G275" s="30"/>
      <c r="H275" s="30">
        <v>13</v>
      </c>
      <c r="I275" s="31"/>
      <c r="J275" s="31"/>
      <c r="K275" s="31"/>
      <c r="L275" s="31"/>
      <c r="M275" s="31"/>
    </row>
    <row r="276" spans="1:13" x14ac:dyDescent="0.2">
      <c r="A276" s="11"/>
      <c r="B276" s="11"/>
      <c r="C276" s="28">
        <v>43739</v>
      </c>
      <c r="D276" s="29" t="s">
        <v>33</v>
      </c>
      <c r="E276" s="11" t="s">
        <v>150</v>
      </c>
      <c r="F276" s="11"/>
      <c r="G276" s="30"/>
      <c r="H276" s="30">
        <v>77</v>
      </c>
      <c r="I276" s="31"/>
      <c r="J276" s="31"/>
      <c r="K276" s="31"/>
      <c r="L276" s="31"/>
      <c r="M276" s="31"/>
    </row>
    <row r="277" spans="1:13" x14ac:dyDescent="0.2">
      <c r="A277" s="11"/>
      <c r="B277" s="11"/>
      <c r="C277" s="28">
        <v>43739</v>
      </c>
      <c r="D277" s="29" t="s">
        <v>170</v>
      </c>
      <c r="E277" s="11" t="s">
        <v>173</v>
      </c>
      <c r="F277" s="11"/>
      <c r="G277" s="30"/>
      <c r="H277" s="30">
        <v>109</v>
      </c>
      <c r="I277" s="31"/>
      <c r="J277" s="31"/>
      <c r="K277" s="31"/>
      <c r="L277" s="31"/>
      <c r="M277" s="31"/>
    </row>
    <row r="278" spans="1:13" x14ac:dyDescent="0.2">
      <c r="A278" s="11"/>
      <c r="B278" s="11"/>
      <c r="C278" s="28">
        <v>43739</v>
      </c>
      <c r="D278" s="29" t="s">
        <v>113</v>
      </c>
      <c r="E278" s="11" t="s">
        <v>114</v>
      </c>
      <c r="F278" s="11"/>
      <c r="G278" s="30"/>
      <c r="H278" s="30">
        <v>65</v>
      </c>
      <c r="I278" s="31"/>
      <c r="J278" s="31"/>
      <c r="K278" s="31"/>
      <c r="L278" s="31"/>
      <c r="M278" s="31"/>
    </row>
    <row r="279" spans="1:13" x14ac:dyDescent="0.2">
      <c r="A279" s="11"/>
      <c r="B279" s="11"/>
      <c r="C279" s="28">
        <v>43739</v>
      </c>
      <c r="D279" s="29" t="s">
        <v>113</v>
      </c>
      <c r="E279" s="11" t="s">
        <v>114</v>
      </c>
      <c r="F279" s="11"/>
      <c r="G279" s="30"/>
      <c r="H279" s="30">
        <v>79</v>
      </c>
      <c r="I279" s="31"/>
      <c r="J279" s="31"/>
      <c r="K279" s="31"/>
      <c r="L279" s="31"/>
      <c r="M279" s="31"/>
    </row>
    <row r="280" spans="1:13" x14ac:dyDescent="0.2">
      <c r="A280" s="11"/>
      <c r="B280" s="11">
        <v>7528</v>
      </c>
      <c r="C280" s="28">
        <v>43739</v>
      </c>
      <c r="D280" s="29" t="s">
        <v>184</v>
      </c>
      <c r="E280" s="11" t="s">
        <v>185</v>
      </c>
      <c r="F280" s="11"/>
      <c r="G280" s="30">
        <v>750</v>
      </c>
      <c r="H280" s="30"/>
      <c r="I280" s="31"/>
      <c r="J280" s="31"/>
      <c r="K280" s="31"/>
      <c r="L280" s="31"/>
      <c r="M280" s="31"/>
    </row>
    <row r="281" spans="1:13" x14ac:dyDescent="0.2">
      <c r="A281" s="11"/>
      <c r="B281" s="11">
        <v>7530</v>
      </c>
      <c r="C281" s="28">
        <v>43739</v>
      </c>
      <c r="D281" s="29" t="s">
        <v>96</v>
      </c>
      <c r="E281" s="11" t="s">
        <v>97</v>
      </c>
      <c r="F281" s="11"/>
      <c r="G281" s="30">
        <v>148.91</v>
      </c>
      <c r="H281" s="30"/>
      <c r="I281" s="31"/>
      <c r="J281" s="31"/>
      <c r="K281" s="31"/>
      <c r="L281" s="31"/>
      <c r="M281" s="31"/>
    </row>
    <row r="282" spans="1:13" x14ac:dyDescent="0.2">
      <c r="A282" s="11"/>
      <c r="B282" s="11">
        <v>7523</v>
      </c>
      <c r="C282" s="28">
        <v>43739</v>
      </c>
      <c r="D282" s="29" t="s">
        <v>202</v>
      </c>
      <c r="E282" s="11" t="s">
        <v>152</v>
      </c>
      <c r="F282" s="11"/>
      <c r="G282" s="30">
        <v>752</v>
      </c>
      <c r="H282" s="30"/>
      <c r="I282" s="31"/>
      <c r="J282" s="31"/>
      <c r="K282" s="31"/>
      <c r="L282" s="31"/>
      <c r="M282" s="31"/>
    </row>
    <row r="283" spans="1:13" x14ac:dyDescent="0.2">
      <c r="A283" s="11"/>
      <c r="B283" s="11">
        <v>7521</v>
      </c>
      <c r="C283" s="28">
        <v>43739</v>
      </c>
      <c r="D283" s="29" t="s">
        <v>205</v>
      </c>
      <c r="E283" s="11" t="s">
        <v>206</v>
      </c>
      <c r="F283" s="11"/>
      <c r="G283" s="30">
        <v>189.56</v>
      </c>
      <c r="H283" s="30"/>
      <c r="I283" s="31"/>
      <c r="J283" s="31"/>
      <c r="K283" s="31"/>
      <c r="L283" s="31"/>
      <c r="M283" s="31"/>
    </row>
    <row r="284" spans="1:13" x14ac:dyDescent="0.2">
      <c r="A284" s="11"/>
      <c r="B284" s="11">
        <v>7525</v>
      </c>
      <c r="C284" s="28">
        <v>43739</v>
      </c>
      <c r="D284" s="29" t="s">
        <v>205</v>
      </c>
      <c r="E284" s="11" t="s">
        <v>208</v>
      </c>
      <c r="F284" s="11"/>
      <c r="G284" s="30">
        <v>205</v>
      </c>
      <c r="H284" s="30"/>
      <c r="I284" s="31"/>
      <c r="J284" s="31"/>
      <c r="K284" s="31"/>
      <c r="L284" s="31"/>
      <c r="M284" s="31"/>
    </row>
    <row r="285" spans="1:13" x14ac:dyDescent="0.2">
      <c r="A285" s="11"/>
      <c r="B285" s="11">
        <v>7524</v>
      </c>
      <c r="C285" s="28">
        <v>43739</v>
      </c>
      <c r="D285" s="29" t="s">
        <v>211</v>
      </c>
      <c r="E285" s="11" t="s">
        <v>212</v>
      </c>
      <c r="F285" s="11"/>
      <c r="G285" s="30">
        <v>6883</v>
      </c>
      <c r="H285" s="30"/>
      <c r="I285" s="31"/>
      <c r="J285" s="31"/>
      <c r="K285" s="31"/>
      <c r="L285" s="31"/>
      <c r="M285" s="31"/>
    </row>
    <row r="286" spans="1:13" x14ac:dyDescent="0.2">
      <c r="A286" s="11"/>
      <c r="B286" s="11">
        <v>7522</v>
      </c>
      <c r="C286" s="28">
        <v>43739</v>
      </c>
      <c r="D286" s="14" t="s">
        <v>57</v>
      </c>
      <c r="E286" s="11" t="s">
        <v>213</v>
      </c>
      <c r="F286" s="11"/>
      <c r="G286" s="30">
        <v>200</v>
      </c>
      <c r="H286" s="30"/>
      <c r="I286" s="31"/>
      <c r="J286" s="31"/>
      <c r="K286" s="31"/>
      <c r="L286" s="31"/>
      <c r="M286" s="31"/>
    </row>
    <row r="287" spans="1:13" x14ac:dyDescent="0.2">
      <c r="A287" s="11"/>
      <c r="B287" s="11">
        <v>7526</v>
      </c>
      <c r="C287" s="28">
        <v>43739</v>
      </c>
      <c r="D287" s="29" t="s">
        <v>100</v>
      </c>
      <c r="E287" s="11" t="s">
        <v>218</v>
      </c>
      <c r="F287" s="11"/>
      <c r="G287" s="30">
        <v>73.14</v>
      </c>
      <c r="H287" s="30"/>
      <c r="I287" s="31"/>
      <c r="J287" s="31"/>
      <c r="K287" s="31"/>
      <c r="L287" s="31"/>
      <c r="M287" s="31"/>
    </row>
    <row r="288" spans="1:13" x14ac:dyDescent="0.2">
      <c r="A288" s="11"/>
      <c r="B288" s="11">
        <v>7531</v>
      </c>
      <c r="C288" s="28">
        <v>43741</v>
      </c>
      <c r="D288" s="29" t="s">
        <v>79</v>
      </c>
      <c r="E288" s="11" t="s">
        <v>83</v>
      </c>
      <c r="F288" s="11"/>
      <c r="G288" s="30">
        <v>886.18</v>
      </c>
      <c r="H288" s="30"/>
      <c r="I288" s="31"/>
      <c r="J288" s="31"/>
      <c r="K288" s="31"/>
      <c r="L288" s="31"/>
      <c r="M288" s="31"/>
    </row>
    <row r="289" spans="1:13" x14ac:dyDescent="0.2">
      <c r="A289" s="11"/>
      <c r="B289" s="11">
        <v>7532</v>
      </c>
      <c r="C289" s="28">
        <v>43752</v>
      </c>
      <c r="D289" s="29" t="s">
        <v>182</v>
      </c>
      <c r="E289" s="11" t="s">
        <v>183</v>
      </c>
      <c r="F289" s="11"/>
      <c r="G289" s="30">
        <v>750</v>
      </c>
      <c r="H289" s="30"/>
      <c r="I289" s="31"/>
      <c r="J289" s="31"/>
      <c r="K289" s="31"/>
      <c r="L289" s="31"/>
      <c r="M289" s="31"/>
    </row>
    <row r="290" spans="1:13" x14ac:dyDescent="0.2">
      <c r="A290" s="11"/>
      <c r="B290" s="11">
        <v>7533</v>
      </c>
      <c r="C290" s="28">
        <v>43753</v>
      </c>
      <c r="D290" s="29" t="s">
        <v>16</v>
      </c>
      <c r="E290" s="11" t="s">
        <v>228</v>
      </c>
      <c r="F290" s="11"/>
      <c r="G290" s="30">
        <v>374.96</v>
      </c>
      <c r="H290" s="30"/>
      <c r="I290" s="31"/>
      <c r="J290" s="31"/>
      <c r="K290" s="31"/>
      <c r="L290" s="31"/>
      <c r="M290" s="31"/>
    </row>
    <row r="291" spans="1:13" x14ac:dyDescent="0.2">
      <c r="A291" s="11"/>
      <c r="B291" s="11">
        <v>7534</v>
      </c>
      <c r="C291" s="28">
        <v>43753</v>
      </c>
      <c r="D291" s="29" t="s">
        <v>107</v>
      </c>
      <c r="E291" s="11" t="s">
        <v>108</v>
      </c>
      <c r="F291" s="11"/>
      <c r="G291" s="30">
        <v>414.08</v>
      </c>
      <c r="H291" s="30"/>
      <c r="I291" s="31"/>
      <c r="J291" s="31"/>
      <c r="K291" s="31"/>
      <c r="L291" s="31"/>
      <c r="M291" s="31"/>
    </row>
    <row r="292" spans="1:13" x14ac:dyDescent="0.2">
      <c r="A292" s="11"/>
      <c r="B292" s="11"/>
      <c r="C292" s="28">
        <v>43753</v>
      </c>
      <c r="D292" s="29" t="s">
        <v>20</v>
      </c>
      <c r="E292" s="52" t="s">
        <v>21</v>
      </c>
      <c r="F292" s="30"/>
      <c r="G292" s="30"/>
      <c r="H292" s="30">
        <v>30</v>
      </c>
      <c r="I292" s="31"/>
      <c r="J292" s="31"/>
      <c r="K292" s="31"/>
      <c r="L292" s="31"/>
      <c r="M292" s="31"/>
    </row>
    <row r="293" spans="1:13" x14ac:dyDescent="0.2">
      <c r="A293" s="11"/>
      <c r="B293" s="11"/>
      <c r="C293" s="28">
        <v>43753</v>
      </c>
      <c r="D293" s="29" t="s">
        <v>20</v>
      </c>
      <c r="E293" s="52" t="s">
        <v>21</v>
      </c>
      <c r="F293" s="30"/>
      <c r="G293" s="30"/>
      <c r="H293" s="30">
        <v>71.882125000000002</v>
      </c>
      <c r="I293" s="31"/>
      <c r="J293" s="31"/>
      <c r="K293" s="31"/>
      <c r="L293" s="31"/>
      <c r="M293" s="31"/>
    </row>
    <row r="294" spans="1:13" x14ac:dyDescent="0.2">
      <c r="A294" s="11"/>
      <c r="B294" s="11"/>
      <c r="C294" s="28">
        <v>43753</v>
      </c>
      <c r="D294" s="29" t="s">
        <v>23</v>
      </c>
      <c r="E294" s="11" t="s">
        <v>140</v>
      </c>
      <c r="F294" s="11"/>
      <c r="G294" s="30"/>
      <c r="H294" s="30">
        <v>8.99</v>
      </c>
      <c r="I294" s="31"/>
      <c r="J294" s="31"/>
      <c r="K294" s="31"/>
      <c r="L294" s="31"/>
      <c r="M294" s="31"/>
    </row>
    <row r="295" spans="1:13" x14ac:dyDescent="0.2">
      <c r="A295" s="11"/>
      <c r="B295" s="11"/>
      <c r="C295" s="28">
        <v>43753</v>
      </c>
      <c r="D295" s="29" t="s">
        <v>128</v>
      </c>
      <c r="E295" s="11" t="s">
        <v>129</v>
      </c>
      <c r="F295" s="11"/>
      <c r="G295" s="30"/>
      <c r="H295" s="30">
        <v>615</v>
      </c>
      <c r="I295" s="31"/>
      <c r="J295" s="31"/>
      <c r="K295" s="31"/>
      <c r="L295" s="31"/>
      <c r="M295" s="31"/>
    </row>
    <row r="296" spans="1:13" x14ac:dyDescent="0.2">
      <c r="A296" s="11"/>
      <c r="B296" s="11"/>
      <c r="C296" s="28">
        <v>43753</v>
      </c>
      <c r="D296" s="29" t="s">
        <v>128</v>
      </c>
      <c r="E296" s="11" t="s">
        <v>129</v>
      </c>
      <c r="F296" s="11"/>
      <c r="G296" s="30"/>
      <c r="H296" s="30">
        <v>106.97</v>
      </c>
      <c r="I296" s="31"/>
      <c r="J296" s="31"/>
      <c r="K296" s="31"/>
      <c r="L296" s="31"/>
      <c r="M296" s="31"/>
    </row>
    <row r="297" spans="1:13" x14ac:dyDescent="0.2">
      <c r="A297" s="11"/>
      <c r="B297" s="11"/>
      <c r="C297" s="28">
        <v>43753</v>
      </c>
      <c r="D297" s="29" t="s">
        <v>151</v>
      </c>
      <c r="E297" s="11" t="s">
        <v>152</v>
      </c>
      <c r="F297" s="11"/>
      <c r="G297" s="30"/>
      <c r="H297" s="30">
        <v>100</v>
      </c>
      <c r="I297" s="31"/>
      <c r="J297" s="31"/>
      <c r="K297" s="31"/>
      <c r="L297" s="31"/>
      <c r="M297" s="31"/>
    </row>
    <row r="298" spans="1:13" x14ac:dyDescent="0.2">
      <c r="A298" s="11"/>
      <c r="B298" s="11"/>
      <c r="C298" s="28">
        <v>43753</v>
      </c>
      <c r="D298" s="29" t="s">
        <v>26</v>
      </c>
      <c r="E298" s="11" t="s">
        <v>136</v>
      </c>
      <c r="F298" s="11"/>
      <c r="G298" s="30"/>
      <c r="H298" s="30">
        <v>4</v>
      </c>
      <c r="I298" s="31"/>
      <c r="J298" s="31"/>
      <c r="K298" s="31"/>
      <c r="L298" s="31"/>
      <c r="M298" s="31"/>
    </row>
    <row r="299" spans="1:13" x14ac:dyDescent="0.2">
      <c r="A299" s="11"/>
      <c r="B299" s="11"/>
      <c r="C299" s="28">
        <v>43753</v>
      </c>
      <c r="D299" s="29" t="s">
        <v>26</v>
      </c>
      <c r="E299" s="11" t="s">
        <v>153</v>
      </c>
      <c r="F299" s="30"/>
      <c r="G299" s="30"/>
      <c r="H299" s="30">
        <v>5</v>
      </c>
      <c r="I299" s="31"/>
      <c r="J299" s="31"/>
      <c r="K299" s="31"/>
      <c r="L299" s="31"/>
      <c r="M299" s="31"/>
    </row>
    <row r="300" spans="1:13" x14ac:dyDescent="0.2">
      <c r="A300" s="11"/>
      <c r="B300" s="11"/>
      <c r="C300" s="28">
        <v>43753</v>
      </c>
      <c r="D300" s="29" t="s">
        <v>28</v>
      </c>
      <c r="E300" s="11" t="s">
        <v>31</v>
      </c>
      <c r="F300" s="11"/>
      <c r="G300" s="30"/>
      <c r="H300" s="30">
        <v>10.95</v>
      </c>
      <c r="I300" s="31"/>
      <c r="J300" s="31"/>
      <c r="K300" s="31"/>
      <c r="L300" s="31"/>
      <c r="M300" s="31"/>
    </row>
    <row r="301" spans="1:13" x14ac:dyDescent="0.2">
      <c r="A301" s="11"/>
      <c r="B301" s="11"/>
      <c r="C301" s="28">
        <v>43753</v>
      </c>
      <c r="D301" s="29" t="s">
        <v>33</v>
      </c>
      <c r="E301" s="11" t="s">
        <v>150</v>
      </c>
      <c r="F301" s="11"/>
      <c r="G301" s="30"/>
      <c r="H301" s="30">
        <v>51</v>
      </c>
      <c r="I301" s="31"/>
      <c r="J301" s="31"/>
      <c r="K301" s="31"/>
      <c r="L301" s="31"/>
      <c r="M301" s="31"/>
    </row>
    <row r="302" spans="1:13" x14ac:dyDescent="0.2">
      <c r="A302" s="11"/>
      <c r="B302" s="11"/>
      <c r="C302" s="28">
        <v>43753</v>
      </c>
      <c r="D302" s="29" t="s">
        <v>36</v>
      </c>
      <c r="E302" s="11" t="s">
        <v>111</v>
      </c>
      <c r="F302" s="30"/>
      <c r="G302" s="30"/>
      <c r="H302" s="30">
        <v>75</v>
      </c>
      <c r="I302" s="31"/>
      <c r="J302" s="31"/>
      <c r="K302" s="31"/>
      <c r="L302" s="31"/>
      <c r="M302" s="31"/>
    </row>
    <row r="303" spans="1:13" x14ac:dyDescent="0.2">
      <c r="A303" s="11"/>
      <c r="B303" s="11"/>
      <c r="C303" s="28">
        <v>43753</v>
      </c>
      <c r="D303" s="29" t="s">
        <v>39</v>
      </c>
      <c r="E303" s="11" t="s">
        <v>40</v>
      </c>
      <c r="F303" s="11"/>
      <c r="G303" s="30"/>
      <c r="H303" s="30">
        <v>0.75424999999999698</v>
      </c>
      <c r="I303" s="31"/>
      <c r="J303" s="31"/>
      <c r="K303" s="31"/>
      <c r="L303" s="31"/>
      <c r="M303" s="31"/>
    </row>
    <row r="304" spans="1:13" x14ac:dyDescent="0.2">
      <c r="A304" s="11"/>
      <c r="B304" s="11"/>
      <c r="C304" s="28">
        <v>43753</v>
      </c>
      <c r="D304" s="29" t="s">
        <v>39</v>
      </c>
      <c r="E304" s="11" t="s">
        <v>161</v>
      </c>
      <c r="F304" s="30"/>
      <c r="G304" s="30"/>
      <c r="H304" s="30">
        <v>50</v>
      </c>
      <c r="I304" s="31"/>
      <c r="J304" s="31"/>
      <c r="K304" s="31"/>
      <c r="L304" s="31"/>
      <c r="M304" s="31"/>
    </row>
    <row r="305" spans="1:13" x14ac:dyDescent="0.2">
      <c r="A305" s="11"/>
      <c r="B305" s="11"/>
      <c r="C305" s="28">
        <v>43753</v>
      </c>
      <c r="D305" s="29" t="s">
        <v>39</v>
      </c>
      <c r="E305" s="11" t="s">
        <v>165</v>
      </c>
      <c r="F305" s="30"/>
      <c r="G305" s="30"/>
      <c r="H305" s="30">
        <v>1810.78</v>
      </c>
      <c r="I305" s="31"/>
      <c r="J305" s="31"/>
      <c r="K305" s="31"/>
      <c r="L305" s="31"/>
      <c r="M305" s="31"/>
    </row>
    <row r="306" spans="1:13" x14ac:dyDescent="0.2">
      <c r="A306" s="11"/>
      <c r="B306" s="11"/>
      <c r="C306" s="28">
        <v>43753</v>
      </c>
      <c r="D306" s="29" t="s">
        <v>113</v>
      </c>
      <c r="E306" s="11" t="s">
        <v>114</v>
      </c>
      <c r="F306" s="11"/>
      <c r="G306" s="30"/>
      <c r="H306" s="30">
        <v>61</v>
      </c>
      <c r="I306" s="31"/>
      <c r="J306" s="31"/>
      <c r="K306" s="31"/>
      <c r="L306" s="31"/>
      <c r="M306" s="31"/>
    </row>
    <row r="307" spans="1:13" x14ac:dyDescent="0.2">
      <c r="A307" s="60"/>
      <c r="B307" s="11">
        <v>7535</v>
      </c>
      <c r="C307" s="28">
        <v>43753</v>
      </c>
      <c r="D307" s="29" t="s">
        <v>85</v>
      </c>
      <c r="E307" s="11" t="s">
        <v>86</v>
      </c>
      <c r="F307" s="11"/>
      <c r="G307" s="30">
        <v>48.94</v>
      </c>
      <c r="H307" s="30"/>
      <c r="I307" s="31"/>
      <c r="J307" s="31"/>
      <c r="K307" s="31"/>
      <c r="L307" s="31"/>
      <c r="M307" s="31"/>
    </row>
    <row r="308" spans="1:13" x14ac:dyDescent="0.2">
      <c r="A308" s="60"/>
      <c r="B308" s="11">
        <v>7536</v>
      </c>
      <c r="C308" s="28">
        <v>43753</v>
      </c>
      <c r="D308" s="29" t="s">
        <v>193</v>
      </c>
      <c r="E308" s="11" t="s">
        <v>194</v>
      </c>
      <c r="F308" s="11"/>
      <c r="G308" s="30">
        <v>470</v>
      </c>
      <c r="H308" s="30"/>
      <c r="I308" s="31"/>
      <c r="J308" s="31"/>
      <c r="K308" s="31"/>
      <c r="L308" s="31"/>
      <c r="M308" s="31"/>
    </row>
    <row r="309" spans="1:13" x14ac:dyDescent="0.2">
      <c r="A309" s="60"/>
      <c r="B309" s="11">
        <v>7540</v>
      </c>
      <c r="C309" s="28">
        <v>43753</v>
      </c>
      <c r="D309" s="29" t="s">
        <v>96</v>
      </c>
      <c r="E309" s="11" t="s">
        <v>97</v>
      </c>
      <c r="F309" s="11"/>
      <c r="G309" s="30">
        <v>143.63999999999999</v>
      </c>
      <c r="H309" s="30"/>
      <c r="I309" s="31"/>
      <c r="J309" s="31"/>
      <c r="K309" s="31"/>
      <c r="L309" s="31"/>
      <c r="M309" s="31"/>
    </row>
    <row r="310" spans="1:13" x14ac:dyDescent="0.2">
      <c r="A310" s="60"/>
      <c r="B310" s="11">
        <v>7538</v>
      </c>
      <c r="C310" s="28">
        <v>43753</v>
      </c>
      <c r="D310" s="29" t="s">
        <v>100</v>
      </c>
      <c r="E310" s="11" t="s">
        <v>220</v>
      </c>
      <c r="F310" s="11"/>
      <c r="G310" s="30">
        <v>1300</v>
      </c>
      <c r="H310" s="30"/>
      <c r="I310" s="31"/>
      <c r="J310" s="31"/>
      <c r="K310" s="31"/>
      <c r="L310" s="31"/>
      <c r="M310" s="31"/>
    </row>
    <row r="311" spans="1:13" x14ac:dyDescent="0.2">
      <c r="A311" s="60"/>
      <c r="B311" s="11">
        <v>7537</v>
      </c>
      <c r="C311" s="28">
        <v>43753</v>
      </c>
      <c r="D311" s="29" t="s">
        <v>100</v>
      </c>
      <c r="E311" s="11" t="s">
        <v>207</v>
      </c>
      <c r="F311" s="11"/>
      <c r="G311" s="30">
        <v>1.59</v>
      </c>
      <c r="H311" s="30"/>
      <c r="I311" s="31"/>
      <c r="J311" s="31"/>
      <c r="K311" s="31"/>
      <c r="L311" s="31"/>
      <c r="M311" s="31"/>
    </row>
    <row r="312" spans="1:13" x14ac:dyDescent="0.2">
      <c r="A312" s="60"/>
      <c r="B312" s="11">
        <v>7539</v>
      </c>
      <c r="C312" s="28">
        <v>43753</v>
      </c>
      <c r="D312" s="29"/>
      <c r="E312" s="11" t="s">
        <v>122</v>
      </c>
      <c r="F312" s="11"/>
      <c r="G312" s="30">
        <v>0</v>
      </c>
      <c r="H312" s="30"/>
      <c r="I312" s="31"/>
      <c r="J312" s="31"/>
      <c r="K312" s="31"/>
      <c r="L312" s="31"/>
      <c r="M312" s="31"/>
    </row>
    <row r="313" spans="1:13" x14ac:dyDescent="0.2">
      <c r="A313" s="60"/>
      <c r="B313" s="11"/>
      <c r="C313" s="28">
        <v>43774</v>
      </c>
      <c r="D313" s="29" t="s">
        <v>20</v>
      </c>
      <c r="E313" s="52" t="s">
        <v>21</v>
      </c>
      <c r="F313" s="11"/>
      <c r="G313" s="30"/>
      <c r="H313" s="30">
        <v>35.882125000000002</v>
      </c>
      <c r="I313" s="31"/>
      <c r="J313" s="31"/>
      <c r="K313" s="31"/>
      <c r="L313" s="31"/>
      <c r="M313" s="31"/>
    </row>
    <row r="314" spans="1:13" x14ac:dyDescent="0.2">
      <c r="A314" s="60"/>
      <c r="B314" s="11"/>
      <c r="C314" s="28">
        <v>43774</v>
      </c>
      <c r="D314" s="29" t="s">
        <v>23</v>
      </c>
      <c r="E314" s="11" t="s">
        <v>67</v>
      </c>
      <c r="F314" s="11"/>
      <c r="G314" s="30"/>
      <c r="H314" s="30">
        <v>636</v>
      </c>
      <c r="I314" s="31"/>
      <c r="J314" s="31"/>
      <c r="K314" s="31"/>
      <c r="L314" s="31"/>
      <c r="M314" s="31"/>
    </row>
    <row r="315" spans="1:13" x14ac:dyDescent="0.2">
      <c r="A315" s="60"/>
      <c r="B315" s="11"/>
      <c r="C315" s="28">
        <v>43774</v>
      </c>
      <c r="D315" s="29" t="s">
        <v>142</v>
      </c>
      <c r="E315" s="29" t="s">
        <v>143</v>
      </c>
      <c r="F315" s="11"/>
      <c r="G315" s="30"/>
      <c r="H315" s="30">
        <v>22</v>
      </c>
      <c r="I315" s="31"/>
      <c r="J315" s="31"/>
      <c r="K315" s="31"/>
      <c r="L315" s="31"/>
      <c r="M315" s="31"/>
    </row>
    <row r="316" spans="1:13" x14ac:dyDescent="0.2">
      <c r="A316" s="60"/>
      <c r="B316" s="11"/>
      <c r="C316" s="28">
        <v>43774</v>
      </c>
      <c r="D316" s="29" t="s">
        <v>26</v>
      </c>
      <c r="E316" s="11" t="s">
        <v>136</v>
      </c>
      <c r="F316" s="11"/>
      <c r="G316" s="30"/>
      <c r="H316" s="30">
        <v>29</v>
      </c>
      <c r="I316" s="31"/>
      <c r="J316" s="31"/>
      <c r="K316" s="31"/>
      <c r="L316" s="31"/>
      <c r="M316" s="31"/>
    </row>
    <row r="317" spans="1:13" x14ac:dyDescent="0.2">
      <c r="A317" s="60"/>
      <c r="B317" s="11"/>
      <c r="C317" s="28">
        <v>43774</v>
      </c>
      <c r="D317" s="29" t="s">
        <v>28</v>
      </c>
      <c r="E317" s="11" t="s">
        <v>31</v>
      </c>
      <c r="F317" s="11"/>
      <c r="G317" s="30"/>
      <c r="H317" s="30">
        <v>3.65</v>
      </c>
      <c r="I317" s="31"/>
      <c r="J317" s="31"/>
      <c r="K317" s="31"/>
      <c r="L317" s="31"/>
      <c r="M317" s="31"/>
    </row>
    <row r="318" spans="1:13" x14ac:dyDescent="0.2">
      <c r="A318" s="60"/>
      <c r="B318" s="11"/>
      <c r="C318" s="28">
        <v>43774</v>
      </c>
      <c r="D318" s="29" t="s">
        <v>33</v>
      </c>
      <c r="E318" s="11" t="s">
        <v>150</v>
      </c>
      <c r="F318" s="11"/>
      <c r="G318" s="30"/>
      <c r="H318" s="30">
        <v>29</v>
      </c>
      <c r="I318" s="31"/>
      <c r="J318" s="31"/>
      <c r="K318" s="31"/>
      <c r="L318" s="31"/>
      <c r="M318" s="31"/>
    </row>
    <row r="319" spans="1:13" x14ac:dyDescent="0.2">
      <c r="A319" s="60"/>
      <c r="B319" s="11"/>
      <c r="C319" s="28">
        <v>43774</v>
      </c>
      <c r="D319" s="29" t="s">
        <v>113</v>
      </c>
      <c r="E319" s="11" t="s">
        <v>114</v>
      </c>
      <c r="F319" s="11"/>
      <c r="G319" s="30"/>
      <c r="H319" s="30">
        <v>56</v>
      </c>
      <c r="I319" s="31"/>
      <c r="J319" s="31"/>
      <c r="K319" s="31"/>
      <c r="L319" s="31"/>
      <c r="M319" s="31"/>
    </row>
    <row r="320" spans="1:13" x14ac:dyDescent="0.2">
      <c r="A320" s="60"/>
      <c r="B320" s="11">
        <v>7541</v>
      </c>
      <c r="C320" s="28">
        <v>43774</v>
      </c>
      <c r="D320" s="29" t="s">
        <v>51</v>
      </c>
      <c r="E320" s="11" t="s">
        <v>195</v>
      </c>
      <c r="F320" s="11"/>
      <c r="G320" s="30">
        <v>142.44999999999999</v>
      </c>
      <c r="H320" s="30"/>
      <c r="I320" s="31"/>
      <c r="J320" s="31"/>
      <c r="K320" s="31"/>
      <c r="L320" s="31"/>
      <c r="M320" s="31"/>
    </row>
    <row r="321" spans="1:13" x14ac:dyDescent="0.2">
      <c r="A321" s="60"/>
      <c r="B321" s="11">
        <v>7542</v>
      </c>
      <c r="C321" s="28">
        <v>43774</v>
      </c>
      <c r="D321" s="29" t="s">
        <v>96</v>
      </c>
      <c r="E321" s="11" t="s">
        <v>97</v>
      </c>
      <c r="F321" s="11"/>
      <c r="G321" s="30">
        <v>205.45</v>
      </c>
      <c r="H321" s="30"/>
      <c r="I321" s="31"/>
      <c r="J321" s="31"/>
      <c r="K321" s="31"/>
      <c r="L321" s="31"/>
      <c r="M321" s="31"/>
    </row>
    <row r="322" spans="1:13" x14ac:dyDescent="0.2">
      <c r="A322" s="60"/>
      <c r="B322" s="11">
        <v>7549</v>
      </c>
      <c r="C322" s="28">
        <v>43788</v>
      </c>
      <c r="D322" s="29" t="s">
        <v>229</v>
      </c>
      <c r="E322" s="11" t="s">
        <v>35</v>
      </c>
      <c r="F322" s="11"/>
      <c r="G322" s="30">
        <v>500</v>
      </c>
      <c r="H322" s="30"/>
      <c r="I322" s="31"/>
      <c r="J322" s="31"/>
      <c r="K322" s="31"/>
      <c r="L322" s="31"/>
      <c r="M322" s="31"/>
    </row>
    <row r="323" spans="1:13" x14ac:dyDescent="0.2">
      <c r="A323" s="60"/>
      <c r="B323" s="11">
        <v>7545</v>
      </c>
      <c r="C323" s="28">
        <v>43788</v>
      </c>
      <c r="D323" s="29" t="s">
        <v>16</v>
      </c>
      <c r="E323" s="11" t="s">
        <v>228</v>
      </c>
      <c r="F323" s="11"/>
      <c r="G323" s="30">
        <v>349.58</v>
      </c>
      <c r="H323" s="30"/>
      <c r="I323" s="31"/>
      <c r="J323" s="31"/>
      <c r="K323" s="31"/>
      <c r="L323" s="31"/>
      <c r="M323" s="31"/>
    </row>
    <row r="324" spans="1:13" x14ac:dyDescent="0.2">
      <c r="A324" s="60"/>
      <c r="B324" s="11">
        <v>7546</v>
      </c>
      <c r="C324" s="28">
        <v>43788</v>
      </c>
      <c r="D324" s="29" t="s">
        <v>107</v>
      </c>
      <c r="E324" s="11" t="s">
        <v>108</v>
      </c>
      <c r="F324" s="11"/>
      <c r="G324" s="30">
        <v>416.17</v>
      </c>
      <c r="H324" s="30"/>
      <c r="I324" s="31"/>
      <c r="J324" s="31"/>
      <c r="K324" s="31"/>
      <c r="L324" s="31"/>
      <c r="M324" s="31"/>
    </row>
    <row r="325" spans="1:13" x14ac:dyDescent="0.2">
      <c r="A325" s="60"/>
      <c r="B325" s="11"/>
      <c r="C325" s="28">
        <v>43788</v>
      </c>
      <c r="D325" s="29" t="s">
        <v>20</v>
      </c>
      <c r="E325" s="11" t="s">
        <v>21</v>
      </c>
      <c r="F325" s="11"/>
      <c r="G325" s="30"/>
      <c r="H325" s="30">
        <v>104.64</v>
      </c>
      <c r="I325" s="31"/>
      <c r="J325" s="31"/>
      <c r="K325" s="31"/>
      <c r="L325" s="31"/>
      <c r="M325" s="31"/>
    </row>
    <row r="326" spans="1:13" x14ac:dyDescent="0.2">
      <c r="A326" s="60"/>
      <c r="B326" s="11"/>
      <c r="C326" s="28">
        <v>43788</v>
      </c>
      <c r="D326" s="29" t="s">
        <v>20</v>
      </c>
      <c r="E326" s="11" t="s">
        <v>21</v>
      </c>
      <c r="F326" s="11"/>
      <c r="G326" s="30"/>
      <c r="H326" s="30">
        <v>34.507125000000002</v>
      </c>
      <c r="I326" s="31"/>
      <c r="J326" s="31"/>
      <c r="K326" s="31"/>
      <c r="L326" s="31"/>
      <c r="M326" s="31"/>
    </row>
    <row r="327" spans="1:13" x14ac:dyDescent="0.2">
      <c r="A327" s="60"/>
      <c r="B327" s="11"/>
      <c r="C327" s="28">
        <v>43788</v>
      </c>
      <c r="D327" s="29" t="s">
        <v>20</v>
      </c>
      <c r="E327" s="11" t="s">
        <v>21</v>
      </c>
      <c r="F327" s="11"/>
      <c r="G327" s="30"/>
      <c r="H327" s="30">
        <v>18</v>
      </c>
      <c r="I327" s="31"/>
      <c r="J327" s="31"/>
      <c r="K327" s="31"/>
      <c r="L327" s="31"/>
      <c r="M327" s="31"/>
    </row>
    <row r="328" spans="1:13" x14ac:dyDescent="0.2">
      <c r="A328" s="60"/>
      <c r="B328" s="11"/>
      <c r="C328" s="28">
        <v>43788</v>
      </c>
      <c r="D328" s="29" t="s">
        <v>23</v>
      </c>
      <c r="E328" s="11" t="s">
        <v>67</v>
      </c>
      <c r="F328" s="11"/>
      <c r="G328" s="30"/>
      <c r="H328" s="30">
        <v>780</v>
      </c>
      <c r="I328" s="31"/>
      <c r="J328" s="31"/>
      <c r="K328" s="31"/>
      <c r="L328" s="31"/>
      <c r="M328" s="31"/>
    </row>
    <row r="329" spans="1:13" x14ac:dyDescent="0.2">
      <c r="A329" s="60"/>
      <c r="B329" s="11"/>
      <c r="C329" s="28">
        <v>43788</v>
      </c>
      <c r="D329" s="29" t="s">
        <v>128</v>
      </c>
      <c r="E329" s="11" t="s">
        <v>129</v>
      </c>
      <c r="F329" s="11"/>
      <c r="G329" s="30"/>
      <c r="H329" s="30">
        <v>717.88</v>
      </c>
      <c r="I329" s="31"/>
      <c r="J329" s="31"/>
      <c r="K329" s="31"/>
      <c r="L329" s="31"/>
      <c r="M329" s="31"/>
    </row>
    <row r="330" spans="1:13" x14ac:dyDescent="0.2">
      <c r="A330" s="60"/>
      <c r="B330" s="11"/>
      <c r="C330" s="28">
        <v>43788</v>
      </c>
      <c r="D330" s="29" t="s">
        <v>26</v>
      </c>
      <c r="E330" s="11" t="s">
        <v>136</v>
      </c>
      <c r="F330" s="11"/>
      <c r="G330" s="30"/>
      <c r="H330" s="30">
        <v>29</v>
      </c>
      <c r="I330" s="31"/>
      <c r="J330" s="31"/>
      <c r="K330" s="31"/>
      <c r="L330" s="31"/>
      <c r="M330" s="31"/>
    </row>
    <row r="331" spans="1:13" x14ac:dyDescent="0.2">
      <c r="A331" s="60"/>
      <c r="B331" s="11"/>
      <c r="C331" s="28">
        <v>43788</v>
      </c>
      <c r="D331" s="29" t="s">
        <v>28</v>
      </c>
      <c r="E331" s="11" t="s">
        <v>31</v>
      </c>
      <c r="F331" s="11"/>
      <c r="G331" s="30"/>
      <c r="H331" s="30">
        <v>10.95</v>
      </c>
      <c r="I331" s="31"/>
      <c r="J331" s="31"/>
      <c r="K331" s="31"/>
      <c r="L331" s="31"/>
      <c r="M331" s="31"/>
    </row>
    <row r="332" spans="1:13" x14ac:dyDescent="0.2">
      <c r="A332" s="60"/>
      <c r="B332" s="11"/>
      <c r="C332" s="28">
        <v>43788</v>
      </c>
      <c r="D332" s="29" t="s">
        <v>28</v>
      </c>
      <c r="E332" s="11" t="s">
        <v>31</v>
      </c>
      <c r="F332" s="11"/>
      <c r="G332" s="30"/>
      <c r="H332" s="30">
        <v>3.65</v>
      </c>
      <c r="I332" s="31"/>
      <c r="J332" s="31"/>
      <c r="K332" s="31"/>
      <c r="L332" s="31"/>
      <c r="M332" s="31"/>
    </row>
    <row r="333" spans="1:13" x14ac:dyDescent="0.2">
      <c r="A333" s="60"/>
      <c r="B333" s="11"/>
      <c r="C333" s="28">
        <v>43788</v>
      </c>
      <c r="D333" s="29" t="s">
        <v>33</v>
      </c>
      <c r="E333" s="11" t="s">
        <v>150</v>
      </c>
      <c r="F333" s="11"/>
      <c r="G333" s="30"/>
      <c r="H333" s="30">
        <v>29</v>
      </c>
      <c r="I333" s="31"/>
      <c r="J333" s="31"/>
      <c r="K333" s="31"/>
      <c r="L333" s="31"/>
      <c r="M333" s="31"/>
    </row>
    <row r="334" spans="1:13" x14ac:dyDescent="0.2">
      <c r="A334" s="60"/>
      <c r="B334" s="11"/>
      <c r="C334" s="28">
        <v>43788</v>
      </c>
      <c r="D334" s="29" t="s">
        <v>39</v>
      </c>
      <c r="E334" s="11" t="s">
        <v>82</v>
      </c>
      <c r="F334" s="11"/>
      <c r="G334" s="30"/>
      <c r="H334" s="30">
        <v>48.625</v>
      </c>
      <c r="I334" s="31"/>
      <c r="J334" s="31"/>
      <c r="K334" s="31"/>
      <c r="L334" s="31"/>
      <c r="M334" s="31"/>
    </row>
    <row r="335" spans="1:13" x14ac:dyDescent="0.2">
      <c r="A335" s="60"/>
      <c r="B335" s="11"/>
      <c r="C335" s="28">
        <v>43788</v>
      </c>
      <c r="D335" s="29" t="s">
        <v>44</v>
      </c>
      <c r="E335" s="11" t="s">
        <v>45</v>
      </c>
      <c r="F335" s="11"/>
      <c r="G335" s="30"/>
      <c r="H335" s="30">
        <v>143.30000000000001</v>
      </c>
      <c r="I335" s="31"/>
      <c r="J335" s="31"/>
      <c r="K335" s="31"/>
      <c r="L335" s="31"/>
      <c r="M335" s="31"/>
    </row>
    <row r="336" spans="1:13" x14ac:dyDescent="0.2">
      <c r="A336" s="60"/>
      <c r="B336" s="11"/>
      <c r="C336" s="28">
        <v>43788</v>
      </c>
      <c r="D336" s="29" t="s">
        <v>113</v>
      </c>
      <c r="E336" s="11" t="s">
        <v>114</v>
      </c>
      <c r="F336" s="11"/>
      <c r="G336" s="30"/>
      <c r="H336" s="30">
        <v>69</v>
      </c>
      <c r="I336" s="31"/>
      <c r="J336" s="31"/>
      <c r="K336" s="31"/>
      <c r="L336" s="31"/>
      <c r="M336" s="31"/>
    </row>
    <row r="337" spans="1:13" x14ac:dyDescent="0.2">
      <c r="A337" s="60"/>
      <c r="B337" s="11">
        <v>7543</v>
      </c>
      <c r="C337" s="28">
        <v>43788</v>
      </c>
      <c r="D337" s="29" t="s">
        <v>188</v>
      </c>
      <c r="E337" s="11" t="s">
        <v>189</v>
      </c>
      <c r="F337" s="11"/>
      <c r="G337" s="30">
        <v>1310</v>
      </c>
      <c r="H337" s="30"/>
      <c r="I337" s="31"/>
      <c r="J337" s="31"/>
      <c r="K337" s="31"/>
      <c r="L337" s="31"/>
      <c r="M337" s="31"/>
    </row>
    <row r="338" spans="1:13" x14ac:dyDescent="0.2">
      <c r="A338" s="60"/>
      <c r="B338" s="11">
        <v>7544</v>
      </c>
      <c r="C338" s="28">
        <v>43788</v>
      </c>
      <c r="D338" s="29" t="s">
        <v>96</v>
      </c>
      <c r="E338" s="11" t="s">
        <v>97</v>
      </c>
      <c r="F338" s="11"/>
      <c r="G338" s="30">
        <v>49.09</v>
      </c>
      <c r="H338" s="30"/>
      <c r="I338" s="31"/>
      <c r="J338" s="31"/>
      <c r="K338" s="31"/>
      <c r="L338" s="31"/>
      <c r="M338" s="31"/>
    </row>
    <row r="339" spans="1:13" x14ac:dyDescent="0.2">
      <c r="A339" s="60"/>
      <c r="B339" s="11">
        <v>7548</v>
      </c>
      <c r="C339" s="28">
        <v>43788</v>
      </c>
      <c r="D339" s="29" t="s">
        <v>60</v>
      </c>
      <c r="E339" s="11" t="s">
        <v>45</v>
      </c>
      <c r="F339" s="11"/>
      <c r="G339" s="30">
        <v>143.91999999999999</v>
      </c>
      <c r="H339" s="30"/>
      <c r="I339" s="31"/>
      <c r="J339" s="31"/>
      <c r="K339" s="31"/>
      <c r="L339" s="31"/>
      <c r="M339" s="31"/>
    </row>
    <row r="340" spans="1:13" x14ac:dyDescent="0.2">
      <c r="A340" s="60"/>
      <c r="B340" s="11">
        <v>7547</v>
      </c>
      <c r="C340" s="28">
        <v>43788</v>
      </c>
      <c r="D340" s="29" t="s">
        <v>230</v>
      </c>
      <c r="E340" s="11" t="s">
        <v>219</v>
      </c>
      <c r="F340" s="11"/>
      <c r="G340" s="30">
        <v>26.7</v>
      </c>
      <c r="H340" s="30"/>
      <c r="I340" s="31"/>
      <c r="J340" s="31"/>
      <c r="K340" s="31"/>
      <c r="L340" s="31"/>
      <c r="M340" s="31"/>
    </row>
    <row r="341" spans="1:13" x14ac:dyDescent="0.2">
      <c r="A341" s="60"/>
      <c r="B341" s="11">
        <v>7554</v>
      </c>
      <c r="C341" s="28">
        <v>43802</v>
      </c>
      <c r="D341" s="29" t="s">
        <v>79</v>
      </c>
      <c r="E341" s="11" t="s">
        <v>84</v>
      </c>
      <c r="F341" s="11"/>
      <c r="G341" s="30">
        <v>886.13</v>
      </c>
      <c r="H341" s="30"/>
      <c r="I341" s="31"/>
      <c r="J341" s="31"/>
      <c r="K341" s="31"/>
      <c r="L341" s="31"/>
      <c r="M341" s="31"/>
    </row>
    <row r="342" spans="1:13" x14ac:dyDescent="0.2">
      <c r="A342" s="60"/>
      <c r="B342" s="11">
        <v>7561</v>
      </c>
      <c r="C342" s="28">
        <v>43802</v>
      </c>
      <c r="D342" s="29" t="s">
        <v>124</v>
      </c>
      <c r="E342" s="11" t="s">
        <v>125</v>
      </c>
      <c r="F342" s="11"/>
      <c r="G342" s="30">
        <v>800</v>
      </c>
      <c r="H342" s="30"/>
      <c r="I342" s="31"/>
      <c r="J342" s="31"/>
      <c r="K342" s="31"/>
      <c r="L342" s="31"/>
      <c r="M342" s="31"/>
    </row>
    <row r="343" spans="1:13" x14ac:dyDescent="0.2">
      <c r="A343" s="60"/>
      <c r="B343" s="11">
        <v>7561</v>
      </c>
      <c r="C343" s="28">
        <v>43802</v>
      </c>
      <c r="D343" s="29" t="s">
        <v>124</v>
      </c>
      <c r="E343" s="11" t="s">
        <v>126</v>
      </c>
      <c r="F343" s="11"/>
      <c r="G343" s="30">
        <v>400</v>
      </c>
      <c r="H343" s="30"/>
      <c r="I343" s="31"/>
      <c r="J343" s="31"/>
      <c r="K343" s="31"/>
      <c r="L343" s="31"/>
      <c r="M343" s="31"/>
    </row>
    <row r="344" spans="1:13" x14ac:dyDescent="0.2">
      <c r="A344" s="60"/>
      <c r="B344" s="11">
        <v>7561</v>
      </c>
      <c r="C344" s="28">
        <v>43802</v>
      </c>
      <c r="D344" s="29" t="s">
        <v>124</v>
      </c>
      <c r="E344" s="11" t="s">
        <v>127</v>
      </c>
      <c r="F344" s="11"/>
      <c r="G344" s="30">
        <v>400</v>
      </c>
      <c r="H344" s="30"/>
      <c r="I344" s="31"/>
      <c r="J344" s="31"/>
      <c r="K344" s="31"/>
      <c r="L344" s="31"/>
      <c r="M344" s="31"/>
    </row>
    <row r="345" spans="1:13" x14ac:dyDescent="0.2">
      <c r="A345" s="60"/>
      <c r="B345" s="11">
        <v>7561</v>
      </c>
      <c r="C345" s="28">
        <v>43802</v>
      </c>
      <c r="D345" s="29" t="s">
        <v>124</v>
      </c>
      <c r="E345" s="11" t="s">
        <v>130</v>
      </c>
      <c r="F345" s="11"/>
      <c r="G345" s="30">
        <v>400</v>
      </c>
      <c r="H345" s="30"/>
      <c r="I345" s="31"/>
      <c r="J345" s="31"/>
      <c r="K345" s="31"/>
      <c r="L345" s="31"/>
      <c r="M345" s="31"/>
    </row>
    <row r="346" spans="1:13" x14ac:dyDescent="0.2">
      <c r="A346" s="60"/>
      <c r="B346" s="11"/>
      <c r="C346" s="28">
        <v>43802</v>
      </c>
      <c r="D346" s="29" t="s">
        <v>20</v>
      </c>
      <c r="E346" s="11" t="s">
        <v>21</v>
      </c>
      <c r="F346" s="11"/>
      <c r="G346" s="30"/>
      <c r="H346" s="30">
        <v>144</v>
      </c>
      <c r="I346" s="31"/>
      <c r="J346" s="31"/>
      <c r="K346" s="31"/>
      <c r="L346" s="31"/>
      <c r="M346" s="31"/>
    </row>
    <row r="347" spans="1:13" x14ac:dyDescent="0.2">
      <c r="A347" s="60"/>
      <c r="B347" s="11"/>
      <c r="C347" s="28">
        <v>43802</v>
      </c>
      <c r="D347" s="29" t="s">
        <v>20</v>
      </c>
      <c r="E347" s="11" t="s">
        <v>21</v>
      </c>
      <c r="F347" s="11"/>
      <c r="G347" s="30"/>
      <c r="H347" s="30">
        <v>39.53</v>
      </c>
      <c r="I347" s="31"/>
      <c r="J347" s="31"/>
      <c r="K347" s="31"/>
      <c r="L347" s="31"/>
      <c r="M347" s="31"/>
    </row>
    <row r="348" spans="1:13" x14ac:dyDescent="0.2">
      <c r="A348" s="60"/>
      <c r="B348" s="11"/>
      <c r="C348" s="28">
        <v>43802</v>
      </c>
      <c r="D348" s="29" t="s">
        <v>142</v>
      </c>
      <c r="E348" s="29" t="s">
        <v>143</v>
      </c>
      <c r="F348" s="11"/>
      <c r="G348" s="30"/>
      <c r="H348" s="30">
        <v>190.25</v>
      </c>
      <c r="I348" s="31"/>
      <c r="J348" s="31"/>
      <c r="K348" s="31"/>
      <c r="L348" s="31"/>
      <c r="M348" s="31"/>
    </row>
    <row r="349" spans="1:13" x14ac:dyDescent="0.2">
      <c r="A349" s="60"/>
      <c r="B349" s="11"/>
      <c r="C349" s="28">
        <v>43802</v>
      </c>
      <c r="D349" s="29" t="s">
        <v>28</v>
      </c>
      <c r="E349" s="11" t="s">
        <v>31</v>
      </c>
      <c r="F349" s="11"/>
      <c r="G349" s="30"/>
      <c r="H349" s="30">
        <v>3.65</v>
      </c>
      <c r="I349" s="31"/>
      <c r="J349" s="31"/>
      <c r="K349" s="31"/>
      <c r="L349" s="31"/>
      <c r="M349" s="31"/>
    </row>
    <row r="350" spans="1:13" x14ac:dyDescent="0.2">
      <c r="A350" s="60"/>
      <c r="B350" s="11"/>
      <c r="C350" s="28">
        <v>43802</v>
      </c>
      <c r="D350" s="29" t="s">
        <v>28</v>
      </c>
      <c r="E350" s="11" t="s">
        <v>31</v>
      </c>
      <c r="F350" s="11"/>
      <c r="G350" s="30"/>
      <c r="H350" s="30">
        <v>3.65</v>
      </c>
      <c r="I350" s="31"/>
      <c r="J350" s="31"/>
      <c r="K350" s="31"/>
      <c r="L350" s="31"/>
      <c r="M350" s="31"/>
    </row>
    <row r="351" spans="1:13" x14ac:dyDescent="0.2">
      <c r="A351" s="60"/>
      <c r="B351" s="11"/>
      <c r="C351" s="28">
        <v>43802</v>
      </c>
      <c r="D351" s="29" t="s">
        <v>155</v>
      </c>
      <c r="E351" s="11" t="s">
        <v>157</v>
      </c>
      <c r="F351" s="11"/>
      <c r="G351" s="30"/>
      <c r="H351" s="30">
        <v>269</v>
      </c>
      <c r="I351" s="31"/>
      <c r="J351" s="31"/>
      <c r="K351" s="31"/>
      <c r="L351" s="31"/>
      <c r="M351" s="31"/>
    </row>
    <row r="352" spans="1:13" x14ac:dyDescent="0.2">
      <c r="A352" s="60"/>
      <c r="B352" s="11"/>
      <c r="C352" s="28">
        <v>43802</v>
      </c>
      <c r="D352" s="29" t="s">
        <v>33</v>
      </c>
      <c r="E352" s="11" t="s">
        <v>150</v>
      </c>
      <c r="F352" s="11"/>
      <c r="G352" s="30"/>
      <c r="H352" s="30">
        <v>18</v>
      </c>
      <c r="I352" s="31"/>
      <c r="J352" s="31"/>
      <c r="K352" s="31"/>
      <c r="L352" s="31"/>
      <c r="M352" s="31"/>
    </row>
    <row r="353" spans="1:13" x14ac:dyDescent="0.2">
      <c r="A353" s="60"/>
      <c r="B353" s="11"/>
      <c r="C353" s="28">
        <v>43802</v>
      </c>
      <c r="D353" s="29" t="s">
        <v>44</v>
      </c>
      <c r="E353" s="11" t="s">
        <v>45</v>
      </c>
      <c r="F353" s="11"/>
      <c r="G353" s="30"/>
      <c r="H353" s="30">
        <v>24.31</v>
      </c>
      <c r="I353" s="31"/>
      <c r="J353" s="31"/>
      <c r="K353" s="31"/>
      <c r="L353" s="31"/>
      <c r="M353" s="31"/>
    </row>
    <row r="354" spans="1:13" x14ac:dyDescent="0.2">
      <c r="A354" s="60"/>
      <c r="B354" s="60"/>
      <c r="C354" s="28">
        <v>43802</v>
      </c>
      <c r="D354" s="29" t="s">
        <v>170</v>
      </c>
      <c r="E354" s="11" t="s">
        <v>173</v>
      </c>
      <c r="F354" s="11"/>
      <c r="G354" s="30"/>
      <c r="H354" s="30">
        <v>138.76</v>
      </c>
    </row>
    <row r="355" spans="1:13" x14ac:dyDescent="0.2">
      <c r="A355" s="60"/>
      <c r="B355" s="60"/>
      <c r="C355" s="28">
        <v>43802</v>
      </c>
      <c r="D355" s="29" t="s">
        <v>113</v>
      </c>
      <c r="E355" s="11" t="s">
        <v>177</v>
      </c>
      <c r="F355" s="11"/>
      <c r="G355" s="30"/>
      <c r="H355" s="30">
        <v>78</v>
      </c>
    </row>
    <row r="356" spans="1:13" x14ac:dyDescent="0.2">
      <c r="A356" s="60"/>
      <c r="B356" s="60"/>
      <c r="C356" s="28">
        <v>43802</v>
      </c>
      <c r="D356" s="29" t="s">
        <v>47</v>
      </c>
      <c r="E356" s="11" t="s">
        <v>48</v>
      </c>
      <c r="F356" s="11" t="s">
        <v>231</v>
      </c>
      <c r="G356" s="30"/>
      <c r="H356" s="30">
        <v>17680</v>
      </c>
    </row>
    <row r="357" spans="1:13" x14ac:dyDescent="0.2">
      <c r="A357" s="60"/>
      <c r="B357" s="60">
        <v>7560</v>
      </c>
      <c r="C357" s="28">
        <v>43802</v>
      </c>
      <c r="D357" s="29" t="s">
        <v>180</v>
      </c>
      <c r="E357" s="11" t="s">
        <v>181</v>
      </c>
      <c r="F357" s="11"/>
      <c r="G357" s="30">
        <v>1000</v>
      </c>
      <c r="H357" s="30"/>
    </row>
    <row r="358" spans="1:13" x14ac:dyDescent="0.2">
      <c r="A358" s="60"/>
      <c r="B358" s="60">
        <v>7550</v>
      </c>
      <c r="C358" s="28">
        <v>43802</v>
      </c>
      <c r="D358" s="29" t="s">
        <v>85</v>
      </c>
      <c r="E358" s="11" t="s">
        <v>86</v>
      </c>
      <c r="F358" s="11"/>
      <c r="G358" s="30">
        <v>48.79</v>
      </c>
      <c r="H358" s="30"/>
    </row>
    <row r="359" spans="1:13" x14ac:dyDescent="0.2">
      <c r="A359" s="60"/>
      <c r="B359" s="60">
        <v>7559</v>
      </c>
      <c r="C359" s="28">
        <v>43802</v>
      </c>
      <c r="D359" s="29" t="s">
        <v>96</v>
      </c>
      <c r="E359" s="11" t="s">
        <v>97</v>
      </c>
      <c r="F359" s="11"/>
      <c r="G359" s="30">
        <v>166.56</v>
      </c>
      <c r="H359" s="30"/>
    </row>
    <row r="360" spans="1:13" x14ac:dyDescent="0.2">
      <c r="A360" s="60"/>
      <c r="B360" s="60">
        <v>7553</v>
      </c>
      <c r="C360" s="28">
        <v>43802</v>
      </c>
      <c r="D360" s="29" t="s">
        <v>205</v>
      </c>
      <c r="E360" s="11" t="s">
        <v>206</v>
      </c>
      <c r="F360" s="11"/>
      <c r="G360" s="30">
        <v>434.3</v>
      </c>
      <c r="H360" s="30"/>
    </row>
    <row r="361" spans="1:13" x14ac:dyDescent="0.2">
      <c r="A361" s="60"/>
      <c r="B361" s="60">
        <v>7557</v>
      </c>
      <c r="C361" s="28">
        <v>43802</v>
      </c>
      <c r="D361" s="29" t="s">
        <v>205</v>
      </c>
      <c r="E361" s="11" t="s">
        <v>206</v>
      </c>
      <c r="F361" s="11"/>
      <c r="G361" s="30">
        <v>1075</v>
      </c>
      <c r="H361" s="30"/>
    </row>
    <row r="362" spans="1:13" x14ac:dyDescent="0.2">
      <c r="A362" s="60"/>
      <c r="B362" s="60">
        <v>7558</v>
      </c>
      <c r="C362" s="28">
        <v>43802</v>
      </c>
      <c r="D362" s="29" t="s">
        <v>205</v>
      </c>
      <c r="E362" s="11" t="s">
        <v>206</v>
      </c>
      <c r="F362" s="11"/>
      <c r="G362" s="30">
        <v>340.84</v>
      </c>
      <c r="H362" s="30"/>
    </row>
    <row r="363" spans="1:13" x14ac:dyDescent="0.2">
      <c r="A363" s="60"/>
      <c r="B363" s="60">
        <v>7551</v>
      </c>
      <c r="C363" s="28">
        <v>43802</v>
      </c>
      <c r="D363" s="29" t="s">
        <v>211</v>
      </c>
      <c r="E363" s="11" t="s">
        <v>232</v>
      </c>
      <c r="F363" s="11"/>
      <c r="G363" s="30">
        <v>750</v>
      </c>
      <c r="H363" s="30"/>
    </row>
    <row r="364" spans="1:13" x14ac:dyDescent="0.2">
      <c r="A364" s="60"/>
      <c r="B364" s="60">
        <v>7552</v>
      </c>
      <c r="C364" s="28">
        <v>43802</v>
      </c>
      <c r="D364" s="29" t="s">
        <v>211</v>
      </c>
      <c r="E364" s="11" t="s">
        <v>232</v>
      </c>
      <c r="F364" s="11"/>
      <c r="G364" s="30">
        <v>20649.5</v>
      </c>
      <c r="H364" s="30"/>
    </row>
    <row r="365" spans="1:13" x14ac:dyDescent="0.2">
      <c r="A365" s="60"/>
      <c r="B365" s="60">
        <v>7555</v>
      </c>
      <c r="C365" s="28">
        <v>43802</v>
      </c>
      <c r="D365" s="29" t="s">
        <v>60</v>
      </c>
      <c r="E365" s="11" t="s">
        <v>45</v>
      </c>
      <c r="F365" s="11"/>
      <c r="G365" s="30">
        <v>24.31</v>
      </c>
      <c r="H365" s="30"/>
    </row>
    <row r="366" spans="1:13" x14ac:dyDescent="0.2">
      <c r="A366" s="60"/>
      <c r="B366" s="60">
        <v>7556</v>
      </c>
      <c r="C366" s="28">
        <v>43802</v>
      </c>
      <c r="D366" s="29" t="s">
        <v>100</v>
      </c>
      <c r="E366" s="11" t="s">
        <v>218</v>
      </c>
      <c r="F366" s="11"/>
      <c r="G366" s="30">
        <v>73.14</v>
      </c>
      <c r="H366" s="30"/>
    </row>
    <row r="367" spans="1:13" x14ac:dyDescent="0.2">
      <c r="A367" s="60"/>
      <c r="B367" s="60">
        <v>7566</v>
      </c>
      <c r="C367" s="28">
        <v>43816</v>
      </c>
      <c r="D367" s="29" t="s">
        <v>233</v>
      </c>
      <c r="E367" s="11" t="s">
        <v>74</v>
      </c>
      <c r="F367" s="11"/>
      <c r="G367" s="30">
        <v>1442.86</v>
      </c>
      <c r="H367" s="30"/>
    </row>
    <row r="368" spans="1:13" x14ac:dyDescent="0.2">
      <c r="A368" s="60"/>
      <c r="B368" s="60">
        <v>7564</v>
      </c>
      <c r="C368" s="28">
        <v>43816</v>
      </c>
      <c r="D368" s="29" t="s">
        <v>16</v>
      </c>
      <c r="E368" s="11" t="s">
        <v>228</v>
      </c>
      <c r="F368" s="11"/>
      <c r="G368" s="30">
        <v>343.79</v>
      </c>
      <c r="H368" s="30"/>
    </row>
    <row r="369" spans="1:8" x14ac:dyDescent="0.2">
      <c r="A369" s="60"/>
      <c r="B369" s="60">
        <v>7563</v>
      </c>
      <c r="C369" s="28">
        <v>43816</v>
      </c>
      <c r="D369" s="29" t="s">
        <v>107</v>
      </c>
      <c r="E369" s="11" t="s">
        <v>108</v>
      </c>
      <c r="F369" s="11"/>
      <c r="G369" s="30">
        <v>493.12</v>
      </c>
      <c r="H369" s="30"/>
    </row>
    <row r="370" spans="1:8" x14ac:dyDescent="0.2">
      <c r="A370" s="60"/>
      <c r="B370" s="60"/>
      <c r="C370" s="28">
        <v>43816</v>
      </c>
      <c r="D370" s="29" t="s">
        <v>20</v>
      </c>
      <c r="E370" s="11" t="s">
        <v>21</v>
      </c>
      <c r="F370" s="11"/>
      <c r="G370" s="30"/>
      <c r="H370" s="30">
        <v>108</v>
      </c>
    </row>
    <row r="371" spans="1:8" x14ac:dyDescent="0.2">
      <c r="A371" s="60"/>
      <c r="B371" s="60"/>
      <c r="C371" s="28">
        <v>43816</v>
      </c>
      <c r="D371" s="29" t="s">
        <v>20</v>
      </c>
      <c r="E371" s="11" t="s">
        <v>21</v>
      </c>
      <c r="F371" s="11"/>
      <c r="G371" s="30"/>
      <c r="H371" s="30">
        <v>666.87687500000004</v>
      </c>
    </row>
    <row r="372" spans="1:8" x14ac:dyDescent="0.2">
      <c r="A372" s="60"/>
      <c r="B372" s="60"/>
      <c r="C372" s="28">
        <v>43816</v>
      </c>
      <c r="D372" s="29" t="s">
        <v>23</v>
      </c>
      <c r="E372" s="11" t="s">
        <v>67</v>
      </c>
      <c r="F372" s="11"/>
      <c r="G372" s="30"/>
      <c r="H372" s="30">
        <v>750.33</v>
      </c>
    </row>
    <row r="373" spans="1:8" x14ac:dyDescent="0.2">
      <c r="A373" s="60"/>
      <c r="B373" s="60"/>
      <c r="C373" s="28">
        <v>43816</v>
      </c>
      <c r="D373" s="29" t="s">
        <v>128</v>
      </c>
      <c r="E373" s="11" t="s">
        <v>129</v>
      </c>
      <c r="F373" s="11"/>
      <c r="G373" s="30"/>
      <c r="H373" s="30">
        <v>460</v>
      </c>
    </row>
    <row r="374" spans="1:8" x14ac:dyDescent="0.2">
      <c r="A374" s="60"/>
      <c r="B374" s="60"/>
      <c r="C374" s="28">
        <v>43816</v>
      </c>
      <c r="D374" s="29" t="s">
        <v>147</v>
      </c>
      <c r="E374" s="11" t="s">
        <v>148</v>
      </c>
      <c r="F374" s="11"/>
      <c r="G374" s="30"/>
      <c r="H374" s="30">
        <v>1442.86</v>
      </c>
    </row>
    <row r="375" spans="1:8" x14ac:dyDescent="0.2">
      <c r="A375" s="60"/>
      <c r="B375" s="60"/>
      <c r="C375" s="28">
        <v>43816</v>
      </c>
      <c r="D375" s="29" t="s">
        <v>26</v>
      </c>
      <c r="E375" s="11" t="s">
        <v>136</v>
      </c>
      <c r="F375" s="11"/>
      <c r="G375" s="30"/>
      <c r="H375" s="30">
        <v>42</v>
      </c>
    </row>
    <row r="376" spans="1:8" x14ac:dyDescent="0.2">
      <c r="A376" s="60"/>
      <c r="B376" s="60"/>
      <c r="C376" s="28">
        <v>43816</v>
      </c>
      <c r="D376" s="29" t="s">
        <v>28</v>
      </c>
      <c r="E376" s="11" t="s">
        <v>31</v>
      </c>
      <c r="F376" s="11"/>
      <c r="G376" s="30"/>
      <c r="H376" s="30">
        <v>10.95</v>
      </c>
    </row>
    <row r="377" spans="1:8" x14ac:dyDescent="0.2">
      <c r="A377" s="60"/>
      <c r="B377" s="60"/>
      <c r="C377" s="28">
        <v>43816</v>
      </c>
      <c r="D377" s="29" t="s">
        <v>28</v>
      </c>
      <c r="E377" s="11" t="s">
        <v>31</v>
      </c>
      <c r="F377" s="11"/>
      <c r="G377" s="30"/>
      <c r="H377" s="30">
        <v>62.05</v>
      </c>
    </row>
    <row r="378" spans="1:8" x14ac:dyDescent="0.2">
      <c r="A378" s="60"/>
      <c r="B378" s="60"/>
      <c r="C378" s="28">
        <v>43816</v>
      </c>
      <c r="D378" s="29" t="s">
        <v>33</v>
      </c>
      <c r="E378" s="11" t="s">
        <v>150</v>
      </c>
      <c r="F378" s="11"/>
      <c r="G378" s="30"/>
      <c r="H378" s="30">
        <v>37</v>
      </c>
    </row>
    <row r="379" spans="1:8" x14ac:dyDescent="0.2">
      <c r="A379" s="60"/>
      <c r="B379" s="60"/>
      <c r="C379" s="61">
        <v>43816</v>
      </c>
      <c r="D379" s="29" t="s">
        <v>39</v>
      </c>
      <c r="E379" s="11" t="s">
        <v>40</v>
      </c>
      <c r="F379" s="11"/>
      <c r="G379" s="30"/>
      <c r="H379" s="30">
        <v>21.262499999999999</v>
      </c>
    </row>
    <row r="380" spans="1:8" x14ac:dyDescent="0.2">
      <c r="A380" s="60"/>
      <c r="B380" s="60"/>
      <c r="C380" s="61">
        <v>43816</v>
      </c>
      <c r="D380" s="29" t="s">
        <v>39</v>
      </c>
      <c r="E380" s="11" t="s">
        <v>82</v>
      </c>
      <c r="F380" s="11"/>
      <c r="G380" s="30"/>
      <c r="H380" s="30">
        <v>53.487499999999997</v>
      </c>
    </row>
    <row r="381" spans="1:8" x14ac:dyDescent="0.2">
      <c r="A381" s="60"/>
      <c r="B381" s="60"/>
      <c r="C381" s="61">
        <v>43816</v>
      </c>
      <c r="D381" s="29" t="s">
        <v>44</v>
      </c>
      <c r="E381" s="11" t="s">
        <v>45</v>
      </c>
      <c r="F381" s="11"/>
      <c r="G381" s="30"/>
      <c r="H381" s="30">
        <v>24</v>
      </c>
    </row>
    <row r="382" spans="1:8" x14ac:dyDescent="0.2">
      <c r="A382" s="60"/>
      <c r="B382" s="60"/>
      <c r="C382" s="61">
        <v>43816</v>
      </c>
      <c r="D382" s="29" t="s">
        <v>170</v>
      </c>
      <c r="E382" s="11" t="s">
        <v>173</v>
      </c>
      <c r="F382" s="11"/>
      <c r="G382" s="30"/>
      <c r="H382" s="30">
        <v>145</v>
      </c>
    </row>
    <row r="383" spans="1:8" x14ac:dyDescent="0.2">
      <c r="A383" s="60"/>
      <c r="B383" s="60"/>
      <c r="C383" s="61">
        <v>43816</v>
      </c>
      <c r="D383" s="29" t="s">
        <v>113</v>
      </c>
      <c r="E383" s="11" t="s">
        <v>114</v>
      </c>
      <c r="F383" s="11"/>
      <c r="G383" s="30"/>
      <c r="H383" s="30">
        <v>89</v>
      </c>
    </row>
    <row r="384" spans="1:8" x14ac:dyDescent="0.2">
      <c r="A384" s="60"/>
      <c r="B384" s="60"/>
      <c r="C384" s="61">
        <v>43816</v>
      </c>
      <c r="D384" s="29" t="s">
        <v>47</v>
      </c>
      <c r="E384" s="11" t="s">
        <v>48</v>
      </c>
      <c r="F384" s="11"/>
      <c r="G384" s="30"/>
      <c r="H384" s="30">
        <v>22278</v>
      </c>
    </row>
    <row r="385" spans="1:8" x14ac:dyDescent="0.2">
      <c r="A385" s="60"/>
      <c r="B385" s="60"/>
      <c r="C385" s="61">
        <v>43816</v>
      </c>
      <c r="D385" s="29" t="s">
        <v>47</v>
      </c>
      <c r="E385" s="11" t="s">
        <v>48</v>
      </c>
      <c r="F385" s="11"/>
      <c r="G385" s="30"/>
      <c r="H385" s="30">
        <v>10628</v>
      </c>
    </row>
    <row r="386" spans="1:8" x14ac:dyDescent="0.2">
      <c r="A386" s="60"/>
      <c r="B386" s="60">
        <v>7569</v>
      </c>
      <c r="C386" s="61">
        <v>43816</v>
      </c>
      <c r="D386" s="29" t="s">
        <v>51</v>
      </c>
      <c r="E386" s="11" t="s">
        <v>195</v>
      </c>
      <c r="F386" s="11"/>
      <c r="G386" s="30">
        <v>107.6</v>
      </c>
      <c r="H386" s="30"/>
    </row>
    <row r="387" spans="1:8" x14ac:dyDescent="0.2">
      <c r="A387" s="60"/>
      <c r="B387" s="60">
        <v>7565</v>
      </c>
      <c r="C387" s="61">
        <v>43816</v>
      </c>
      <c r="D387" s="29" t="s">
        <v>96</v>
      </c>
      <c r="E387" s="11" t="s">
        <v>97</v>
      </c>
      <c r="F387" s="11"/>
      <c r="G387" s="30">
        <v>95.25</v>
      </c>
      <c r="H387" s="30"/>
    </row>
    <row r="388" spans="1:8" x14ac:dyDescent="0.2">
      <c r="A388" s="60"/>
      <c r="B388" s="60">
        <v>7568</v>
      </c>
      <c r="C388" s="61">
        <v>43816</v>
      </c>
      <c r="D388" s="29" t="s">
        <v>205</v>
      </c>
      <c r="E388" s="11" t="s">
        <v>206</v>
      </c>
      <c r="F388" s="11"/>
      <c r="G388" s="30">
        <v>35.700000000000003</v>
      </c>
      <c r="H388" s="30"/>
    </row>
    <row r="389" spans="1:8" x14ac:dyDescent="0.2">
      <c r="A389" s="60"/>
      <c r="B389" s="60">
        <v>7567</v>
      </c>
      <c r="C389" s="61">
        <v>43816</v>
      </c>
      <c r="D389" s="29" t="s">
        <v>60</v>
      </c>
      <c r="E389" s="11" t="s">
        <v>45</v>
      </c>
      <c r="F389" s="11"/>
      <c r="G389" s="30">
        <v>24</v>
      </c>
      <c r="H389" s="30"/>
    </row>
    <row r="390" spans="1:8" x14ac:dyDescent="0.2">
      <c r="A390" s="60"/>
      <c r="B390" s="60">
        <v>7564</v>
      </c>
      <c r="C390" s="61">
        <v>43816</v>
      </c>
      <c r="D390" s="29" t="s">
        <v>100</v>
      </c>
      <c r="E390" s="11" t="s">
        <v>218</v>
      </c>
      <c r="F390" s="11"/>
      <c r="G390" s="30">
        <v>22</v>
      </c>
      <c r="H390" s="30"/>
    </row>
    <row r="391" spans="1:8" x14ac:dyDescent="0.2">
      <c r="A391" s="60"/>
      <c r="B391" s="60">
        <v>7562</v>
      </c>
      <c r="C391" s="61">
        <v>43816</v>
      </c>
      <c r="D391" s="29" t="s">
        <v>100</v>
      </c>
      <c r="E391" s="11" t="s">
        <v>207</v>
      </c>
      <c r="F391" s="11"/>
      <c r="G391" s="30">
        <v>200.17</v>
      </c>
      <c r="H391" s="30"/>
    </row>
  </sheetData>
  <mergeCells count="1">
    <mergeCell ref="B1:E1"/>
  </mergeCells>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162D-24F9-4B69-8738-C19E6D289C7D}">
  <dimension ref="A2:E8"/>
  <sheetViews>
    <sheetView workbookViewId="0">
      <selection activeCell="B8" sqref="B8"/>
    </sheetView>
  </sheetViews>
  <sheetFormatPr defaultRowHeight="14.25" x14ac:dyDescent="0.2"/>
  <cols>
    <col min="1" max="1" width="12.25" customWidth="1"/>
    <col min="2" max="2" width="13.75" customWidth="1"/>
    <col min="3" max="3" width="15.75" customWidth="1"/>
    <col min="4" max="4" width="13.625" customWidth="1"/>
  </cols>
  <sheetData>
    <row r="2" spans="1:5" ht="15" x14ac:dyDescent="0.25">
      <c r="A2" s="596" t="s">
        <v>236</v>
      </c>
      <c r="B2" s="598" t="s">
        <v>1318</v>
      </c>
      <c r="C2" s="598" t="s">
        <v>1319</v>
      </c>
      <c r="D2" s="598" t="s">
        <v>1250</v>
      </c>
    </row>
    <row r="3" spans="1:5" x14ac:dyDescent="0.2">
      <c r="A3" t="s">
        <v>1314</v>
      </c>
      <c r="B3" s="597">
        <v>27375</v>
      </c>
      <c r="C3" s="597">
        <v>31950</v>
      </c>
      <c r="D3" s="597">
        <f>Summary!B5</f>
        <v>34670</v>
      </c>
      <c r="E3" s="597"/>
    </row>
    <row r="4" spans="1:5" x14ac:dyDescent="0.2">
      <c r="A4" t="s">
        <v>1315</v>
      </c>
      <c r="B4" s="597">
        <v>12300</v>
      </c>
      <c r="C4" s="597">
        <v>10500</v>
      </c>
      <c r="D4" s="597">
        <f>Summary!E6</f>
        <v>12075</v>
      </c>
      <c r="E4" s="597"/>
    </row>
    <row r="5" spans="1:5" x14ac:dyDescent="0.2">
      <c r="A5" t="s">
        <v>1316</v>
      </c>
      <c r="B5" s="597">
        <v>14200</v>
      </c>
      <c r="C5" s="597">
        <v>16450</v>
      </c>
      <c r="D5" s="597">
        <f>Summary!E7</f>
        <v>12350</v>
      </c>
      <c r="E5" s="597"/>
    </row>
    <row r="6" spans="1:5" x14ac:dyDescent="0.2">
      <c r="A6" t="s">
        <v>558</v>
      </c>
      <c r="B6" s="597">
        <v>12975</v>
      </c>
      <c r="C6" s="597">
        <v>12975</v>
      </c>
      <c r="D6" s="597">
        <f>Summary!B8</f>
        <v>7725</v>
      </c>
      <c r="E6" s="597"/>
    </row>
    <row r="7" spans="1:5" x14ac:dyDescent="0.2">
      <c r="A7" s="599" t="s">
        <v>1320</v>
      </c>
      <c r="B7" s="600">
        <v>72647</v>
      </c>
      <c r="C7" s="600">
        <v>73377</v>
      </c>
      <c r="D7" s="600">
        <f>Summary!B9</f>
        <v>78109.5</v>
      </c>
      <c r="E7" s="597"/>
    </row>
    <row r="8" spans="1:5" x14ac:dyDescent="0.2">
      <c r="A8" t="s">
        <v>1317</v>
      </c>
      <c r="B8" s="597">
        <f>SUM(B3:B7)</f>
        <v>139497</v>
      </c>
      <c r="C8" s="597">
        <f>SUM(C3:C7)</f>
        <v>145252</v>
      </c>
      <c r="D8" s="597">
        <f>SUM(D3:D7)</f>
        <v>144929.5</v>
      </c>
      <c r="E8" s="59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11"/>
  <sheetViews>
    <sheetView topLeftCell="A2" workbookViewId="0"/>
  </sheetViews>
  <sheetFormatPr defaultRowHeight="14.25" x14ac:dyDescent="0.2"/>
  <cols>
    <col min="1" max="1" width="5.25" customWidth="1"/>
    <col min="2" max="2" width="25.625" style="124" customWidth="1"/>
    <col min="3" max="3" width="15.125" style="125" customWidth="1"/>
    <col min="4" max="4" width="11.875" style="125" customWidth="1"/>
    <col min="5" max="5" width="9.875" style="149" customWidth="1"/>
    <col min="6" max="6" width="11.25" style="215" customWidth="1"/>
    <col min="7" max="7" width="10.75" style="149" customWidth="1"/>
    <col min="8" max="8" width="10.75" style="215" customWidth="1"/>
    <col min="9" max="9" width="10.625" style="149" customWidth="1"/>
    <col min="10" max="10" width="10.75" style="149" customWidth="1"/>
    <col min="11" max="11" width="27.5" style="124" customWidth="1"/>
    <col min="12" max="12" width="11.125" style="16" hidden="1" customWidth="1"/>
    <col min="13" max="13" width="12.875" hidden="1" customWidth="1"/>
    <col min="14" max="14" width="1.25" hidden="1" customWidth="1"/>
    <col min="15" max="15" width="10.625" style="124" customWidth="1"/>
    <col min="16" max="16" width="15.75" style="124" customWidth="1"/>
    <col min="17" max="17" width="9.25" customWidth="1"/>
    <col min="18" max="18" width="7.625" customWidth="1"/>
    <col min="19" max="23" width="7.75" customWidth="1"/>
    <col min="24" max="24" width="10.75" customWidth="1"/>
    <col min="25" max="25" width="9.75" style="16" customWidth="1"/>
    <col min="26" max="1024" width="7.375" customWidth="1"/>
  </cols>
  <sheetData>
    <row r="1" spans="1:24" ht="33" hidden="1" x14ac:dyDescent="0.2">
      <c r="A1" s="241"/>
      <c r="B1" s="242" t="s">
        <v>249</v>
      </c>
      <c r="C1" s="243"/>
      <c r="D1" s="243"/>
      <c r="E1" s="195"/>
      <c r="F1" s="195" t="s">
        <v>373</v>
      </c>
      <c r="G1" s="195" t="s">
        <v>374</v>
      </c>
      <c r="H1" s="195" t="s">
        <v>375</v>
      </c>
      <c r="I1" s="195" t="s">
        <v>376</v>
      </c>
      <c r="J1" s="195" t="s">
        <v>377</v>
      </c>
      <c r="K1" s="244" t="e">
        <f>#REF!</f>
        <v>#REF!</v>
      </c>
      <c r="L1" s="244"/>
      <c r="M1" s="244"/>
      <c r="N1" s="221" t="e">
        <f>#REF!-#REF!</f>
        <v>#REF!</v>
      </c>
      <c r="O1" s="245" t="s">
        <v>250</v>
      </c>
      <c r="P1" s="115"/>
      <c r="Q1" s="83"/>
      <c r="R1" s="83"/>
      <c r="S1" s="83"/>
      <c r="T1" s="83"/>
      <c r="U1" s="83"/>
    </row>
    <row r="2" spans="1:24" ht="19.5" customHeight="1" x14ac:dyDescent="0.2">
      <c r="A2" s="644" t="s">
        <v>548</v>
      </c>
      <c r="B2" s="644"/>
      <c r="C2" s="644"/>
      <c r="D2" s="644"/>
      <c r="E2" s="644"/>
      <c r="F2" s="644"/>
      <c r="G2" s="644"/>
      <c r="H2" s="644"/>
      <c r="I2" s="644"/>
      <c r="J2" s="644"/>
      <c r="K2" s="644"/>
      <c r="L2" s="644"/>
      <c r="M2" s="644"/>
      <c r="N2" s="644"/>
      <c r="O2" s="644"/>
      <c r="P2" s="115"/>
      <c r="Q2" s="83"/>
      <c r="R2" s="83"/>
      <c r="S2" s="83"/>
      <c r="T2" s="83"/>
      <c r="U2" s="83"/>
    </row>
    <row r="3" spans="1:24" x14ac:dyDescent="0.2">
      <c r="A3" s="195" t="s">
        <v>369</v>
      </c>
      <c r="B3" s="195" t="s">
        <v>251</v>
      </c>
      <c r="C3" s="195" t="s">
        <v>370</v>
      </c>
      <c r="D3" s="195" t="s">
        <v>371</v>
      </c>
      <c r="E3" s="195"/>
      <c r="F3" s="195"/>
      <c r="G3" s="195" t="s">
        <v>374</v>
      </c>
      <c r="H3" s="195" t="s">
        <v>375</v>
      </c>
      <c r="I3" s="195" t="s">
        <v>376</v>
      </c>
      <c r="J3" s="195" t="s">
        <v>377</v>
      </c>
      <c r="K3" s="195" t="s">
        <v>259</v>
      </c>
      <c r="L3" s="195" t="s">
        <v>260</v>
      </c>
      <c r="M3" s="195" t="s">
        <v>261</v>
      </c>
      <c r="N3" s="195"/>
      <c r="O3" s="195" t="s">
        <v>262</v>
      </c>
      <c r="P3" s="115"/>
      <c r="Q3" s="83"/>
      <c r="R3" s="83"/>
      <c r="S3" s="83"/>
      <c r="T3" s="83"/>
      <c r="U3" s="83"/>
    </row>
    <row r="4" spans="1:24" s="16" customFormat="1" ht="26.25" customHeight="1" x14ac:dyDescent="0.2">
      <c r="A4" s="650"/>
      <c r="B4" s="650"/>
      <c r="C4" s="176"/>
      <c r="D4" s="176"/>
      <c r="E4" s="176"/>
      <c r="F4" s="176"/>
      <c r="G4" s="176"/>
      <c r="H4" s="176"/>
      <c r="I4" s="176"/>
      <c r="J4" s="176"/>
      <c r="K4" s="176"/>
      <c r="L4" s="176"/>
      <c r="M4" s="176"/>
      <c r="N4" s="176"/>
      <c r="O4" s="176"/>
      <c r="P4" s="187"/>
      <c r="Q4" s="111"/>
      <c r="R4" s="111"/>
      <c r="S4" s="111"/>
      <c r="T4" s="111"/>
      <c r="U4" s="111"/>
    </row>
    <row r="5" spans="1:24" s="16" customFormat="1" ht="16.5" x14ac:dyDescent="0.2">
      <c r="A5" s="222" t="s">
        <v>549</v>
      </c>
      <c r="B5" s="250"/>
      <c r="C5" s="176"/>
      <c r="D5" s="176"/>
      <c r="E5" s="176"/>
      <c r="F5" s="176"/>
      <c r="G5" s="176">
        <v>0</v>
      </c>
      <c r="H5" s="176">
        <v>0</v>
      </c>
      <c r="I5" s="176">
        <v>0</v>
      </c>
      <c r="J5" s="176">
        <v>0</v>
      </c>
      <c r="K5" s="176"/>
      <c r="L5" s="176"/>
      <c r="M5" s="176"/>
      <c r="N5" s="176"/>
      <c r="O5" s="176"/>
      <c r="P5" s="187"/>
      <c r="Q5" s="111"/>
      <c r="R5" s="111"/>
      <c r="S5" s="111"/>
      <c r="T5" s="111"/>
      <c r="U5" s="111"/>
    </row>
    <row r="6" spans="1:24" s="16" customFormat="1" ht="16.5" x14ac:dyDescent="0.2">
      <c r="A6" s="222" t="s">
        <v>550</v>
      </c>
      <c r="B6" s="250"/>
      <c r="C6" s="302"/>
      <c r="D6" s="248" t="s">
        <v>381</v>
      </c>
      <c r="E6" s="303">
        <f>C6-F6</f>
        <v>0</v>
      </c>
      <c r="F6" s="304">
        <f>SUM(G6:J6)</f>
        <v>0</v>
      </c>
      <c r="G6" s="175">
        <v>0</v>
      </c>
      <c r="H6" s="253">
        <v>0</v>
      </c>
      <c r="I6" s="253">
        <v>0</v>
      </c>
      <c r="J6" s="223">
        <v>0</v>
      </c>
      <c r="K6" s="246"/>
      <c r="L6" s="249"/>
      <c r="M6" s="250" t="e">
        <f>#REF!</f>
        <v>#REF!</v>
      </c>
      <c r="N6" s="251">
        <f>(465*2)+(10*2)</f>
        <v>950</v>
      </c>
      <c r="O6" s="252"/>
      <c r="P6" s="187"/>
      <c r="Q6" s="111"/>
      <c r="R6" s="111"/>
      <c r="S6" s="111"/>
      <c r="T6" s="111"/>
      <c r="U6" s="111"/>
      <c r="X6" s="112"/>
    </row>
    <row r="7" spans="1:24" s="16" customFormat="1" ht="16.5" hidden="1" x14ac:dyDescent="0.2">
      <c r="A7" s="222" t="s">
        <v>347</v>
      </c>
      <c r="B7" s="250" t="s">
        <v>348</v>
      </c>
      <c r="C7" s="247">
        <f>SUM(C6:C6)</f>
        <v>0</v>
      </c>
      <c r="D7" s="248"/>
      <c r="E7" s="175" t="e">
        <f>#REF!-#REF!</f>
        <v>#REF!</v>
      </c>
      <c r="F7" s="175">
        <f>SUM(G7:J7)</f>
        <v>0</v>
      </c>
      <c r="G7" s="271"/>
      <c r="H7" s="275"/>
      <c r="I7" s="271"/>
      <c r="J7" s="271"/>
      <c r="K7" s="246"/>
      <c r="L7" s="249"/>
      <c r="M7" s="250" t="e">
        <f>#REF!</f>
        <v>#REF!</v>
      </c>
      <c r="N7" s="251"/>
      <c r="O7" s="252"/>
      <c r="P7" s="187"/>
      <c r="Q7" s="111"/>
      <c r="R7" s="111"/>
      <c r="S7" s="111"/>
      <c r="T7" s="111"/>
      <c r="U7" s="111"/>
      <c r="X7" s="112"/>
    </row>
    <row r="8" spans="1:24" s="16" customFormat="1" ht="16.5" hidden="1" x14ac:dyDescent="0.2">
      <c r="A8" s="222" t="s">
        <v>60</v>
      </c>
      <c r="B8" s="250" t="s">
        <v>350</v>
      </c>
      <c r="C8" s="247"/>
      <c r="D8" s="248"/>
      <c r="E8" s="175">
        <f>C7-F7</f>
        <v>0</v>
      </c>
      <c r="F8" s="175">
        <f>SUM(G8:J8)</f>
        <v>0</v>
      </c>
      <c r="G8" s="271"/>
      <c r="H8" s="275"/>
      <c r="I8" s="271"/>
      <c r="J8" s="271"/>
      <c r="K8" s="246" t="s">
        <v>352</v>
      </c>
      <c r="L8" s="249"/>
      <c r="M8" s="250">
        <v>100</v>
      </c>
      <c r="N8" s="251"/>
      <c r="O8" s="279"/>
      <c r="P8" s="187"/>
      <c r="Q8" s="111"/>
      <c r="R8" s="111"/>
      <c r="S8" s="111"/>
      <c r="T8" s="111"/>
      <c r="U8" s="111"/>
      <c r="X8" s="112"/>
    </row>
    <row r="9" spans="1:24" s="16" customFormat="1" ht="16.5" hidden="1" x14ac:dyDescent="0.2">
      <c r="A9" s="280" t="s">
        <v>544</v>
      </c>
      <c r="B9" s="250" t="s">
        <v>545</v>
      </c>
      <c r="C9" s="247"/>
      <c r="D9" s="248"/>
      <c r="E9" s="175">
        <f>C8-F8</f>
        <v>0</v>
      </c>
      <c r="F9" s="175">
        <f>SUM(G9:J9)</f>
        <v>0</v>
      </c>
      <c r="G9" s="271"/>
      <c r="H9" s="275"/>
      <c r="I9" s="271"/>
      <c r="J9" s="271"/>
      <c r="K9" s="246"/>
      <c r="L9" s="249"/>
      <c r="M9" s="250" t="e">
        <f>#REF!</f>
        <v>#REF!</v>
      </c>
      <c r="N9" s="246"/>
      <c r="O9" s="252"/>
      <c r="P9" s="187"/>
      <c r="Q9" s="111"/>
      <c r="R9" s="111"/>
      <c r="S9" s="111"/>
      <c r="T9" s="111"/>
      <c r="U9" s="111"/>
    </row>
    <row r="10" spans="1:24" x14ac:dyDescent="0.2">
      <c r="A10" s="83"/>
      <c r="B10" s="189"/>
      <c r="C10" s="291"/>
      <c r="D10" s="291"/>
      <c r="K10" s="191"/>
      <c r="L10" s="292"/>
      <c r="M10" s="293"/>
      <c r="N10" s="83"/>
      <c r="O10" s="294"/>
      <c r="P10" s="115"/>
      <c r="Q10" s="83"/>
      <c r="R10" s="83"/>
      <c r="S10" s="83"/>
      <c r="T10" s="83"/>
      <c r="U10" s="83"/>
    </row>
    <row r="11" spans="1:24" x14ac:dyDescent="0.2">
      <c r="A11" s="116"/>
      <c r="B11" s="295" t="s">
        <v>263</v>
      </c>
      <c r="C11" s="296"/>
      <c r="D11" s="296"/>
      <c r="E11" s="297"/>
      <c r="F11" s="298"/>
      <c r="G11" s="297"/>
      <c r="H11" s="298"/>
      <c r="I11" s="297"/>
      <c r="J11" s="297"/>
      <c r="K11" s="170"/>
      <c r="L11" s="299"/>
      <c r="M11" s="300"/>
      <c r="N11" s="301"/>
      <c r="O11" s="123"/>
      <c r="P11" s="115"/>
      <c r="Q11" s="83"/>
      <c r="R11" s="83"/>
      <c r="S11" s="83"/>
      <c r="T11" s="83"/>
      <c r="U11" s="83"/>
    </row>
  </sheetData>
  <mergeCells count="2">
    <mergeCell ref="A2:O2"/>
    <mergeCell ref="A4:B4"/>
  </mergeCells>
  <pageMargins left="0.45" right="0.45" top="0.92200000000000015" bottom="1.1437000000000002" header="0.30000000000000004" footer="0.75000000000000011"/>
  <pageSetup scale="67" fitToHeight="0" orientation="landscape" r:id="rId1"/>
  <headerFooter alignWithMargins="0">
    <oddHeader>&amp;C&amp;"Calibri,Regular"&amp;10Council 8600 Budget
Fraternal Year 2022 - 2023</oddHeader>
  </headerFooter>
  <colBreaks count="1" manualBreakCount="1">
    <brk id="1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D227"/>
  <sheetViews>
    <sheetView workbookViewId="0"/>
  </sheetViews>
  <sheetFormatPr defaultRowHeight="14.25" x14ac:dyDescent="0.2"/>
  <cols>
    <col min="1" max="1" width="16.75" customWidth="1"/>
    <col min="2" max="3" width="12.125" style="16" customWidth="1"/>
    <col min="4" max="1024" width="7.375" customWidth="1"/>
  </cols>
  <sheetData>
    <row r="3" spans="1:3" x14ac:dyDescent="0.2">
      <c r="A3" t="s">
        <v>9</v>
      </c>
      <c r="B3" s="16" t="s">
        <v>560</v>
      </c>
      <c r="C3" s="16" t="s">
        <v>561</v>
      </c>
    </row>
    <row r="4" spans="1:3" x14ac:dyDescent="0.2">
      <c r="A4" s="50" t="s">
        <v>562</v>
      </c>
      <c r="B4" s="16">
        <v>0</v>
      </c>
      <c r="C4" s="16">
        <v>0</v>
      </c>
    </row>
    <row r="5" spans="1:3" x14ac:dyDescent="0.2">
      <c r="A5" s="50" t="s">
        <v>424</v>
      </c>
      <c r="B5" s="16">
        <v>969.52</v>
      </c>
    </row>
    <row r="6" spans="1:3" x14ac:dyDescent="0.2">
      <c r="A6" s="50" t="s">
        <v>445</v>
      </c>
      <c r="B6" s="16">
        <v>500</v>
      </c>
    </row>
    <row r="7" spans="1:3" x14ac:dyDescent="0.2">
      <c r="A7" s="50" t="s">
        <v>103</v>
      </c>
      <c r="B7" s="16">
        <v>100</v>
      </c>
    </row>
    <row r="8" spans="1:3" x14ac:dyDescent="0.2">
      <c r="A8" s="50" t="s">
        <v>109</v>
      </c>
      <c r="B8" s="16">
        <v>3162.2669999999998</v>
      </c>
    </row>
    <row r="9" spans="1:3" x14ac:dyDescent="0.2">
      <c r="A9" s="50" t="s">
        <v>427</v>
      </c>
      <c r="B9" s="16">
        <v>2878.07</v>
      </c>
    </row>
    <row r="10" spans="1:3" x14ac:dyDescent="0.2">
      <c r="A10" s="50" t="s">
        <v>16</v>
      </c>
      <c r="B10" s="16">
        <v>4653.1099999999997</v>
      </c>
      <c r="C10" s="16">
        <v>0</v>
      </c>
    </row>
    <row r="11" spans="1:3" x14ac:dyDescent="0.2">
      <c r="A11" s="50" t="s">
        <v>107</v>
      </c>
      <c r="B11" s="16">
        <v>986.67</v>
      </c>
      <c r="C11" s="16">
        <v>0</v>
      </c>
    </row>
    <row r="12" spans="1:3" x14ac:dyDescent="0.2">
      <c r="A12" s="50" t="s">
        <v>63</v>
      </c>
      <c r="B12" s="16">
        <v>3500</v>
      </c>
    </row>
    <row r="13" spans="1:3" x14ac:dyDescent="0.2">
      <c r="A13" s="50" t="s">
        <v>117</v>
      </c>
      <c r="B13" s="16">
        <v>602.5</v>
      </c>
    </row>
    <row r="14" spans="1:3" x14ac:dyDescent="0.2">
      <c r="A14" s="50" t="s">
        <v>442</v>
      </c>
      <c r="B14" s="16">
        <v>990.11</v>
      </c>
    </row>
    <row r="15" spans="1:3" x14ac:dyDescent="0.2">
      <c r="A15" s="50" t="s">
        <v>121</v>
      </c>
      <c r="B15" s="16">
        <v>500</v>
      </c>
    </row>
    <row r="16" spans="1:3" x14ac:dyDescent="0.2">
      <c r="A16" s="50" t="s">
        <v>459</v>
      </c>
      <c r="B16" s="16">
        <v>426.8</v>
      </c>
    </row>
    <row r="17" spans="1:3" x14ac:dyDescent="0.2">
      <c r="A17" s="50" t="s">
        <v>124</v>
      </c>
      <c r="B17" s="16">
        <v>381.14</v>
      </c>
    </row>
    <row r="18" spans="1:3" x14ac:dyDescent="0.2">
      <c r="A18" s="50" t="s">
        <v>462</v>
      </c>
      <c r="B18" s="16">
        <v>2000</v>
      </c>
    </row>
    <row r="19" spans="1:3" x14ac:dyDescent="0.2">
      <c r="A19" s="50" t="s">
        <v>465</v>
      </c>
      <c r="B19" s="16">
        <v>300</v>
      </c>
    </row>
    <row r="20" spans="1:3" x14ac:dyDescent="0.2">
      <c r="A20" s="50" t="s">
        <v>131</v>
      </c>
      <c r="B20" s="16">
        <v>500</v>
      </c>
    </row>
    <row r="21" spans="1:3" x14ac:dyDescent="0.2">
      <c r="A21" s="50" t="s">
        <v>133</v>
      </c>
      <c r="B21" s="16">
        <v>250</v>
      </c>
    </row>
    <row r="22" spans="1:3" x14ac:dyDescent="0.2">
      <c r="A22" s="50" t="s">
        <v>20</v>
      </c>
      <c r="B22" s="16">
        <v>0</v>
      </c>
      <c r="C22" s="16">
        <v>11229.132125</v>
      </c>
    </row>
    <row r="23" spans="1:3" x14ac:dyDescent="0.2">
      <c r="A23" s="50" t="s">
        <v>23</v>
      </c>
      <c r="B23" s="16">
        <v>0</v>
      </c>
      <c r="C23" s="16">
        <v>6287.78</v>
      </c>
    </row>
    <row r="24" spans="1:3" x14ac:dyDescent="0.2">
      <c r="A24" s="50" t="s">
        <v>128</v>
      </c>
      <c r="B24" s="16">
        <v>0</v>
      </c>
      <c r="C24" s="16">
        <v>5784.16</v>
      </c>
    </row>
    <row r="25" spans="1:3" x14ac:dyDescent="0.2">
      <c r="A25" s="50" t="s">
        <v>141</v>
      </c>
      <c r="C25" s="16">
        <v>391.92</v>
      </c>
    </row>
    <row r="26" spans="1:3" x14ac:dyDescent="0.2">
      <c r="A26" s="50" t="s">
        <v>563</v>
      </c>
      <c r="C26" s="16">
        <v>1312.5</v>
      </c>
    </row>
    <row r="27" spans="1:3" x14ac:dyDescent="0.2">
      <c r="A27" s="50" t="s">
        <v>144</v>
      </c>
      <c r="C27" s="16">
        <v>24660</v>
      </c>
    </row>
    <row r="28" spans="1:3" x14ac:dyDescent="0.2">
      <c r="A28" s="50" t="s">
        <v>146</v>
      </c>
      <c r="B28" s="16">
        <v>0</v>
      </c>
      <c r="C28" s="16">
        <v>22014</v>
      </c>
    </row>
    <row r="29" spans="1:3" x14ac:dyDescent="0.2">
      <c r="A29" s="50" t="s">
        <v>147</v>
      </c>
      <c r="B29" s="16">
        <v>0</v>
      </c>
      <c r="C29" s="16">
        <v>12425.13</v>
      </c>
    </row>
    <row r="30" spans="1:3" x14ac:dyDescent="0.2">
      <c r="A30" s="50" t="s">
        <v>151</v>
      </c>
      <c r="C30" s="16">
        <v>1500</v>
      </c>
    </row>
    <row r="31" spans="1:3" x14ac:dyDescent="0.2">
      <c r="A31" s="50" t="s">
        <v>26</v>
      </c>
      <c r="B31" s="16">
        <v>0</v>
      </c>
      <c r="C31" s="16">
        <v>507.95</v>
      </c>
    </row>
    <row r="32" spans="1:3" x14ac:dyDescent="0.2">
      <c r="A32" s="50" t="s">
        <v>28</v>
      </c>
      <c r="B32" s="16">
        <v>0</v>
      </c>
      <c r="C32" s="16">
        <v>701.39</v>
      </c>
    </row>
    <row r="33" spans="1:3" x14ac:dyDescent="0.2">
      <c r="A33" s="50" t="s">
        <v>155</v>
      </c>
      <c r="C33" s="16">
        <v>562</v>
      </c>
    </row>
    <row r="34" spans="1:3" x14ac:dyDescent="0.2">
      <c r="A34" s="50" t="s">
        <v>33</v>
      </c>
      <c r="B34" s="16">
        <v>0</v>
      </c>
      <c r="C34" s="16">
        <v>472</v>
      </c>
    </row>
    <row r="35" spans="1:3" x14ac:dyDescent="0.2">
      <c r="A35" s="50" t="s">
        <v>36</v>
      </c>
      <c r="B35" s="16">
        <v>0</v>
      </c>
      <c r="C35" s="16">
        <v>419.58749999999998</v>
      </c>
    </row>
    <row r="36" spans="1:3" x14ac:dyDescent="0.2">
      <c r="A36" s="50" t="s">
        <v>39</v>
      </c>
      <c r="B36" s="16">
        <v>0</v>
      </c>
      <c r="C36" s="16">
        <v>1742.7</v>
      </c>
    </row>
    <row r="37" spans="1:3" x14ac:dyDescent="0.2">
      <c r="A37" s="50" t="s">
        <v>81</v>
      </c>
      <c r="B37" s="16">
        <v>0</v>
      </c>
      <c r="C37" s="16">
        <v>553.86</v>
      </c>
    </row>
    <row r="38" spans="1:3" x14ac:dyDescent="0.2">
      <c r="A38" s="50" t="s">
        <v>44</v>
      </c>
      <c r="C38" s="16">
        <v>1194.1199999999999</v>
      </c>
    </row>
    <row r="39" spans="1:3" x14ac:dyDescent="0.2">
      <c r="A39" s="50" t="s">
        <v>167</v>
      </c>
      <c r="B39" s="16">
        <v>0</v>
      </c>
      <c r="C39" s="16">
        <v>12162.37</v>
      </c>
    </row>
    <row r="40" spans="1:3" x14ac:dyDescent="0.2">
      <c r="A40" s="50" t="s">
        <v>170</v>
      </c>
      <c r="C40" s="16">
        <v>530</v>
      </c>
    </row>
    <row r="41" spans="1:3" x14ac:dyDescent="0.2">
      <c r="A41" s="50" t="s">
        <v>113</v>
      </c>
      <c r="B41" s="16">
        <v>0</v>
      </c>
      <c r="C41" s="16">
        <v>1687</v>
      </c>
    </row>
    <row r="42" spans="1:3" x14ac:dyDescent="0.2">
      <c r="A42" s="50" t="s">
        <v>290</v>
      </c>
      <c r="C42" s="16">
        <v>22</v>
      </c>
    </row>
    <row r="43" spans="1:3" x14ac:dyDescent="0.2">
      <c r="A43" s="50" t="s">
        <v>47</v>
      </c>
      <c r="C43" s="16">
        <v>43892.59</v>
      </c>
    </row>
    <row r="44" spans="1:3" x14ac:dyDescent="0.2">
      <c r="A44" s="50" t="s">
        <v>184</v>
      </c>
      <c r="B44" s="16">
        <v>989</v>
      </c>
    </row>
    <row r="45" spans="1:3" x14ac:dyDescent="0.2">
      <c r="A45" s="50" t="s">
        <v>186</v>
      </c>
      <c r="B45" s="16">
        <v>1000</v>
      </c>
    </row>
    <row r="46" spans="1:3" x14ac:dyDescent="0.2">
      <c r="A46" s="50" t="s">
        <v>487</v>
      </c>
      <c r="B46" s="16">
        <v>2500</v>
      </c>
    </row>
    <row r="47" spans="1:3" x14ac:dyDescent="0.2">
      <c r="A47" s="50" t="s">
        <v>490</v>
      </c>
      <c r="B47" s="16">
        <v>225</v>
      </c>
    </row>
    <row r="48" spans="1:3" x14ac:dyDescent="0.2">
      <c r="A48" s="50" t="s">
        <v>564</v>
      </c>
      <c r="B48" s="16">
        <v>10000</v>
      </c>
    </row>
    <row r="49" spans="1:3" x14ac:dyDescent="0.2">
      <c r="A49" s="50" t="s">
        <v>565</v>
      </c>
      <c r="B49" s="16">
        <v>1082.55</v>
      </c>
      <c r="C49" s="16">
        <v>0</v>
      </c>
    </row>
    <row r="50" spans="1:3" x14ac:dyDescent="0.2">
      <c r="A50" s="50" t="s">
        <v>566</v>
      </c>
      <c r="B50" s="16">
        <v>686.88</v>
      </c>
    </row>
    <row r="51" spans="1:3" x14ac:dyDescent="0.2">
      <c r="A51" s="50" t="s">
        <v>567</v>
      </c>
      <c r="B51" s="16">
        <v>62.38</v>
      </c>
    </row>
    <row r="52" spans="1:3" x14ac:dyDescent="0.2">
      <c r="A52" s="50" t="s">
        <v>568</v>
      </c>
      <c r="B52" s="16">
        <v>1348.55</v>
      </c>
    </row>
    <row r="53" spans="1:3" x14ac:dyDescent="0.2">
      <c r="A53" s="50" t="s">
        <v>569</v>
      </c>
      <c r="B53" s="16">
        <v>13</v>
      </c>
    </row>
    <row r="54" spans="1:3" x14ac:dyDescent="0.2">
      <c r="A54" s="50" t="s">
        <v>190</v>
      </c>
      <c r="B54" s="16">
        <v>658.53</v>
      </c>
    </row>
    <row r="55" spans="1:3" x14ac:dyDescent="0.2">
      <c r="A55" s="50" t="s">
        <v>522</v>
      </c>
      <c r="B55" s="16">
        <v>1067.4100000000001</v>
      </c>
    </row>
    <row r="56" spans="1:3" x14ac:dyDescent="0.2">
      <c r="A56" s="50" t="s">
        <v>85</v>
      </c>
      <c r="B56" s="16">
        <v>95</v>
      </c>
    </row>
    <row r="57" spans="1:3" x14ac:dyDescent="0.2">
      <c r="A57" s="50" t="s">
        <v>88</v>
      </c>
      <c r="B57" s="16">
        <v>804.3</v>
      </c>
    </row>
    <row r="58" spans="1:3" x14ac:dyDescent="0.2">
      <c r="A58" s="50" t="s">
        <v>530</v>
      </c>
      <c r="B58" s="16">
        <v>464</v>
      </c>
      <c r="C58" s="16">
        <v>0</v>
      </c>
    </row>
    <row r="59" spans="1:3" x14ac:dyDescent="0.2">
      <c r="A59" s="50" t="s">
        <v>533</v>
      </c>
      <c r="B59" s="16">
        <v>5187.2700000000004</v>
      </c>
    </row>
    <row r="60" spans="1:3" x14ac:dyDescent="0.2">
      <c r="A60" s="50" t="s">
        <v>193</v>
      </c>
      <c r="B60" s="16">
        <v>326.29000000000002</v>
      </c>
    </row>
    <row r="61" spans="1:3" x14ac:dyDescent="0.2">
      <c r="A61" s="50" t="s">
        <v>91</v>
      </c>
      <c r="B61" s="16">
        <v>1267.73</v>
      </c>
      <c r="C61" s="16">
        <v>0</v>
      </c>
    </row>
    <row r="62" spans="1:3" x14ac:dyDescent="0.2">
      <c r="A62" s="50" t="s">
        <v>51</v>
      </c>
      <c r="B62" s="16">
        <v>494.28</v>
      </c>
    </row>
    <row r="63" spans="1:3" x14ac:dyDescent="0.2">
      <c r="A63" s="50" t="s">
        <v>197</v>
      </c>
      <c r="B63" s="16">
        <v>933.99</v>
      </c>
    </row>
    <row r="64" spans="1:3" x14ac:dyDescent="0.2">
      <c r="A64" s="50" t="s">
        <v>209</v>
      </c>
      <c r="B64" s="16">
        <v>244</v>
      </c>
    </row>
    <row r="65" spans="1:3" x14ac:dyDescent="0.2">
      <c r="A65" s="50" t="s">
        <v>507</v>
      </c>
      <c r="B65" s="16">
        <v>1877.68</v>
      </c>
    </row>
    <row r="66" spans="1:3" x14ac:dyDescent="0.2">
      <c r="A66" s="50" t="s">
        <v>100</v>
      </c>
      <c r="B66" s="16">
        <v>1631</v>
      </c>
      <c r="C66" s="16">
        <v>0</v>
      </c>
    </row>
    <row r="67" spans="1:3" x14ac:dyDescent="0.2">
      <c r="A67" s="50" t="s">
        <v>119</v>
      </c>
      <c r="B67" s="16">
        <v>147</v>
      </c>
    </row>
    <row r="68" spans="1:3" x14ac:dyDescent="0.2">
      <c r="A68" s="50" t="s">
        <v>518</v>
      </c>
      <c r="B68" s="16">
        <v>334</v>
      </c>
    </row>
    <row r="69" spans="1:3" x14ac:dyDescent="0.2">
      <c r="A69" s="50" t="s">
        <v>570</v>
      </c>
      <c r="B69" s="16">
        <v>1898.21</v>
      </c>
      <c r="C69" s="16">
        <v>0</v>
      </c>
    </row>
    <row r="70" spans="1:3" x14ac:dyDescent="0.2">
      <c r="A70" s="50" t="s">
        <v>571</v>
      </c>
      <c r="B70" s="16">
        <v>100</v>
      </c>
    </row>
    <row r="71" spans="1:3" x14ac:dyDescent="0.2">
      <c r="A71" s="50" t="s">
        <v>572</v>
      </c>
      <c r="B71" s="16">
        <v>100</v>
      </c>
    </row>
    <row r="72" spans="1:3" x14ac:dyDescent="0.2">
      <c r="A72" s="50" t="s">
        <v>573</v>
      </c>
      <c r="B72" s="16">
        <v>1589.09</v>
      </c>
    </row>
    <row r="73" spans="1:3" x14ac:dyDescent="0.2">
      <c r="A73" s="50" t="s">
        <v>574</v>
      </c>
      <c r="B73" s="16">
        <v>14200</v>
      </c>
    </row>
    <row r="74" spans="1:3" x14ac:dyDescent="0.2">
      <c r="A74" s="50" t="s">
        <v>575</v>
      </c>
      <c r="B74" s="16">
        <v>570</v>
      </c>
    </row>
    <row r="75" spans="1:3" x14ac:dyDescent="0.2">
      <c r="A75" s="50" t="s">
        <v>576</v>
      </c>
      <c r="B75" s="16">
        <v>36690</v>
      </c>
    </row>
    <row r="76" spans="1:3" x14ac:dyDescent="0.2">
      <c r="A76" s="50" t="s">
        <v>577</v>
      </c>
      <c r="B76" s="16">
        <v>907.12</v>
      </c>
    </row>
    <row r="77" spans="1:3" x14ac:dyDescent="0.2">
      <c r="A77" s="50" t="s">
        <v>578</v>
      </c>
      <c r="B77" s="16">
        <v>1200</v>
      </c>
    </row>
    <row r="78" spans="1:3" x14ac:dyDescent="0.2">
      <c r="A78" s="50" t="s">
        <v>579</v>
      </c>
      <c r="B78" s="16">
        <v>456.8</v>
      </c>
    </row>
    <row r="79" spans="1:3" x14ac:dyDescent="0.2">
      <c r="A79" s="50" t="s">
        <v>580</v>
      </c>
      <c r="B79" s="16">
        <v>1044.67</v>
      </c>
    </row>
    <row r="80" spans="1:3" x14ac:dyDescent="0.2">
      <c r="A80" s="50" t="s">
        <v>581</v>
      </c>
      <c r="B80" s="16">
        <v>500</v>
      </c>
    </row>
    <row r="81" spans="1:3" x14ac:dyDescent="0.2">
      <c r="A81" s="50" t="s">
        <v>582</v>
      </c>
      <c r="B81" s="16">
        <v>800</v>
      </c>
    </row>
    <row r="82" spans="1:3" x14ac:dyDescent="0.2">
      <c r="A82" s="50" t="s">
        <v>583</v>
      </c>
      <c r="B82" s="16">
        <v>440.8</v>
      </c>
    </row>
    <row r="83" spans="1:3" x14ac:dyDescent="0.2">
      <c r="A83" s="50" t="s">
        <v>584</v>
      </c>
      <c r="B83" s="16">
        <v>241.58</v>
      </c>
      <c r="C83" s="16">
        <v>0</v>
      </c>
    </row>
    <row r="84" spans="1:3" x14ac:dyDescent="0.2">
      <c r="A84" s="50" t="s">
        <v>585</v>
      </c>
      <c r="B84" s="16">
        <v>7500</v>
      </c>
      <c r="C84" s="16">
        <v>0</v>
      </c>
    </row>
    <row r="85" spans="1:3" x14ac:dyDescent="0.2">
      <c r="A85" s="50" t="s">
        <v>586</v>
      </c>
      <c r="B85" s="16">
        <v>200</v>
      </c>
    </row>
    <row r="86" spans="1:3" x14ac:dyDescent="0.2">
      <c r="A86" s="50" t="s">
        <v>587</v>
      </c>
      <c r="B86" s="16">
        <v>145.43</v>
      </c>
    </row>
    <row r="87" spans="1:3" x14ac:dyDescent="0.2">
      <c r="A87" s="50" t="s">
        <v>588</v>
      </c>
      <c r="B87" s="16">
        <v>2750</v>
      </c>
    </row>
    <row r="88" spans="1:3" x14ac:dyDescent="0.2">
      <c r="A88" s="50" t="s">
        <v>589</v>
      </c>
      <c r="B88" s="16">
        <v>2000</v>
      </c>
      <c r="C88" s="16">
        <v>0</v>
      </c>
    </row>
    <row r="89" spans="1:3" x14ac:dyDescent="0.2">
      <c r="A89" s="50" t="s">
        <v>223</v>
      </c>
      <c r="B89" s="16">
        <v>0</v>
      </c>
    </row>
    <row r="90" spans="1:3" x14ac:dyDescent="0.2">
      <c r="A90" s="50" t="s">
        <v>224</v>
      </c>
      <c r="B90" s="16">
        <v>129473.727</v>
      </c>
      <c r="C90" s="16">
        <v>150052.189625</v>
      </c>
    </row>
    <row r="226" spans="4:4" x14ac:dyDescent="0.2">
      <c r="D226" t="s">
        <v>590</v>
      </c>
    </row>
    <row r="227" spans="4:4" x14ac:dyDescent="0.2">
      <c r="D227" t="s">
        <v>591</v>
      </c>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28"/>
  <sheetViews>
    <sheetView workbookViewId="0"/>
  </sheetViews>
  <sheetFormatPr defaultRowHeight="14.25" x14ac:dyDescent="0.2"/>
  <cols>
    <col min="1" max="1" width="14.25" customWidth="1"/>
    <col min="2" max="3" width="12.125" customWidth="1"/>
    <col min="4" max="7" width="7.375" customWidth="1"/>
    <col min="8" max="8" width="9.375" customWidth="1"/>
    <col min="9" max="9" width="10.125" customWidth="1"/>
    <col min="10" max="1024" width="7.375" customWidth="1"/>
  </cols>
  <sheetData>
    <row r="1" spans="1:20" x14ac:dyDescent="0.2">
      <c r="A1" s="27" t="s">
        <v>592</v>
      </c>
      <c r="B1" s="316" t="s">
        <v>5</v>
      </c>
      <c r="C1" s="13" t="s">
        <v>6</v>
      </c>
      <c r="D1" s="14" t="s">
        <v>593</v>
      </c>
      <c r="E1" s="317" t="s">
        <v>594</v>
      </c>
      <c r="F1" s="15" t="s">
        <v>595</v>
      </c>
      <c r="G1" s="55" t="s">
        <v>596</v>
      </c>
      <c r="H1" s="55" t="s">
        <v>597</v>
      </c>
      <c r="I1" s="55" t="s">
        <v>598</v>
      </c>
      <c r="L1" s="27">
        <v>2018</v>
      </c>
      <c r="M1" s="316" t="s">
        <v>5</v>
      </c>
      <c r="N1" s="13" t="s">
        <v>6</v>
      </c>
      <c r="O1" s="14" t="s">
        <v>593</v>
      </c>
      <c r="P1" s="317" t="s">
        <v>594</v>
      </c>
      <c r="Q1" s="15" t="s">
        <v>595</v>
      </c>
      <c r="R1" s="55" t="s">
        <v>596</v>
      </c>
      <c r="S1" s="55" t="s">
        <v>597</v>
      </c>
      <c r="T1" s="55" t="s">
        <v>598</v>
      </c>
    </row>
    <row r="2" spans="1:20" x14ac:dyDescent="0.2">
      <c r="A2" s="27" t="s">
        <v>599</v>
      </c>
      <c r="B2" s="12"/>
      <c r="C2" s="13">
        <v>42917</v>
      </c>
      <c r="D2" s="318" t="s">
        <v>562</v>
      </c>
      <c r="E2" s="316" t="s">
        <v>600</v>
      </c>
      <c r="F2" s="27"/>
      <c r="G2" s="4">
        <v>0</v>
      </c>
      <c r="H2" s="4">
        <v>0</v>
      </c>
      <c r="I2" s="4">
        <v>0</v>
      </c>
    </row>
    <row r="3" spans="1:20" x14ac:dyDescent="0.2">
      <c r="A3" s="27"/>
      <c r="B3" s="319">
        <v>7106</v>
      </c>
      <c r="C3" s="320">
        <v>42934</v>
      </c>
      <c r="D3" s="318" t="s">
        <v>459</v>
      </c>
      <c r="E3" s="316" t="s">
        <v>601</v>
      </c>
      <c r="F3" s="27"/>
      <c r="G3" s="4">
        <v>110</v>
      </c>
      <c r="H3" s="4"/>
      <c r="I3" s="4">
        <f t="shared" ref="I3:I34" si="0">I2+H3-G3</f>
        <v>-110</v>
      </c>
    </row>
    <row r="4" spans="1:20" x14ac:dyDescent="0.2">
      <c r="A4" s="27"/>
      <c r="B4" s="12">
        <v>7107</v>
      </c>
      <c r="C4" s="320">
        <v>42934</v>
      </c>
      <c r="D4" s="318" t="s">
        <v>570</v>
      </c>
      <c r="E4" s="316" t="s">
        <v>602</v>
      </c>
      <c r="F4" s="27"/>
      <c r="G4" s="4">
        <v>93.31</v>
      </c>
      <c r="H4" s="4"/>
      <c r="I4" s="4">
        <f t="shared" si="0"/>
        <v>-203.31</v>
      </c>
    </row>
    <row r="5" spans="1:20" x14ac:dyDescent="0.2">
      <c r="A5" s="27"/>
      <c r="B5" s="12">
        <v>7108</v>
      </c>
      <c r="C5" s="320">
        <v>42934</v>
      </c>
      <c r="D5" s="318" t="s">
        <v>522</v>
      </c>
      <c r="E5" s="316" t="s">
        <v>603</v>
      </c>
      <c r="F5" s="27"/>
      <c r="G5" s="4">
        <v>1000</v>
      </c>
      <c r="H5" s="4"/>
      <c r="I5" s="4">
        <f t="shared" si="0"/>
        <v>-1203.31</v>
      </c>
    </row>
    <row r="6" spans="1:20" x14ac:dyDescent="0.2">
      <c r="A6" s="27"/>
      <c r="B6" s="12">
        <v>7109</v>
      </c>
      <c r="C6" s="320">
        <v>42934</v>
      </c>
      <c r="D6" s="318" t="s">
        <v>522</v>
      </c>
      <c r="E6" s="316" t="s">
        <v>604</v>
      </c>
      <c r="F6" s="27"/>
      <c r="G6" s="4">
        <v>57.21</v>
      </c>
      <c r="H6" s="4"/>
      <c r="I6" s="4">
        <f t="shared" si="0"/>
        <v>-1260.52</v>
      </c>
    </row>
    <row r="7" spans="1:20" x14ac:dyDescent="0.2">
      <c r="A7" s="27"/>
      <c r="B7" s="12">
        <v>7110</v>
      </c>
      <c r="C7" s="320">
        <v>42934</v>
      </c>
      <c r="D7" s="318" t="s">
        <v>51</v>
      </c>
      <c r="E7" s="316" t="s">
        <v>605</v>
      </c>
      <c r="F7" s="27"/>
      <c r="G7" s="4">
        <v>2096.15</v>
      </c>
      <c r="H7" s="4"/>
      <c r="I7" s="4">
        <f t="shared" si="0"/>
        <v>-3356.67</v>
      </c>
    </row>
    <row r="8" spans="1:20" x14ac:dyDescent="0.2">
      <c r="A8" s="27"/>
      <c r="B8" s="12">
        <v>7111</v>
      </c>
      <c r="C8" s="320">
        <v>42934</v>
      </c>
      <c r="D8" s="318" t="s">
        <v>522</v>
      </c>
      <c r="E8" s="316" t="s">
        <v>207</v>
      </c>
      <c r="F8" s="27"/>
      <c r="G8" s="4">
        <v>161.41999999999999</v>
      </c>
      <c r="H8" s="4"/>
      <c r="I8" s="4">
        <f t="shared" si="0"/>
        <v>-3518.09</v>
      </c>
    </row>
    <row r="9" spans="1:20" x14ac:dyDescent="0.2">
      <c r="A9" s="27"/>
      <c r="B9" s="12">
        <v>7111</v>
      </c>
      <c r="C9" s="320">
        <v>42934</v>
      </c>
      <c r="D9" s="318" t="s">
        <v>197</v>
      </c>
      <c r="E9" s="316" t="s">
        <v>606</v>
      </c>
      <c r="F9" s="27"/>
      <c r="G9" s="4">
        <v>480</v>
      </c>
      <c r="H9" s="4"/>
      <c r="I9" s="4">
        <f t="shared" si="0"/>
        <v>-3998.09</v>
      </c>
    </row>
    <row r="10" spans="1:20" x14ac:dyDescent="0.2">
      <c r="A10" s="27"/>
      <c r="B10" s="12">
        <v>7112</v>
      </c>
      <c r="C10" s="320">
        <v>42934</v>
      </c>
      <c r="D10" s="318" t="s">
        <v>91</v>
      </c>
      <c r="E10" s="316" t="s">
        <v>607</v>
      </c>
      <c r="F10" s="27"/>
      <c r="G10" s="4">
        <v>134.30000000000001</v>
      </c>
      <c r="H10" s="4"/>
      <c r="I10" s="4">
        <f t="shared" si="0"/>
        <v>-4132.3900000000003</v>
      </c>
    </row>
    <row r="11" spans="1:20" x14ac:dyDescent="0.2">
      <c r="A11" s="27"/>
      <c r="B11" s="12">
        <v>7113</v>
      </c>
      <c r="C11" s="320">
        <v>42934</v>
      </c>
      <c r="D11" s="318" t="s">
        <v>507</v>
      </c>
      <c r="E11" s="316" t="s">
        <v>608</v>
      </c>
      <c r="F11" s="27"/>
      <c r="G11" s="4">
        <v>2010.96</v>
      </c>
      <c r="H11" s="4"/>
      <c r="I11" s="4">
        <f t="shared" si="0"/>
        <v>-6143.35</v>
      </c>
    </row>
    <row r="12" spans="1:20" x14ac:dyDescent="0.2">
      <c r="A12" s="27"/>
      <c r="B12" s="12">
        <v>7114</v>
      </c>
      <c r="C12" s="320">
        <v>42934</v>
      </c>
      <c r="D12" s="318" t="s">
        <v>530</v>
      </c>
      <c r="E12" s="316" t="s">
        <v>609</v>
      </c>
      <c r="F12" s="27"/>
      <c r="G12" s="4">
        <v>41.65</v>
      </c>
      <c r="H12" s="4"/>
      <c r="I12" s="4">
        <f t="shared" si="0"/>
        <v>-6185</v>
      </c>
    </row>
    <row r="13" spans="1:20" x14ac:dyDescent="0.2">
      <c r="A13" s="27"/>
      <c r="B13" s="12">
        <v>7115</v>
      </c>
      <c r="C13" s="320">
        <v>42934</v>
      </c>
      <c r="D13" s="318" t="s">
        <v>573</v>
      </c>
      <c r="E13" s="316" t="s">
        <v>610</v>
      </c>
      <c r="F13" s="27"/>
      <c r="G13" s="4">
        <v>52.92</v>
      </c>
      <c r="H13" s="4"/>
      <c r="I13" s="4">
        <f t="shared" si="0"/>
        <v>-6237.92</v>
      </c>
    </row>
    <row r="14" spans="1:20" x14ac:dyDescent="0.2">
      <c r="A14" s="27"/>
      <c r="B14" s="12">
        <v>7116</v>
      </c>
      <c r="C14" s="320">
        <v>42934</v>
      </c>
      <c r="D14" s="318" t="s">
        <v>522</v>
      </c>
      <c r="E14" s="316" t="s">
        <v>611</v>
      </c>
      <c r="F14" s="27"/>
      <c r="G14" s="4">
        <v>62.02</v>
      </c>
      <c r="H14" s="4"/>
      <c r="I14" s="4">
        <f t="shared" si="0"/>
        <v>-6299.9400000000005</v>
      </c>
    </row>
    <row r="15" spans="1:20" x14ac:dyDescent="0.2">
      <c r="A15" s="27"/>
      <c r="B15" s="12">
        <v>7117</v>
      </c>
      <c r="C15" s="320">
        <v>42934</v>
      </c>
      <c r="D15" s="318" t="s">
        <v>193</v>
      </c>
      <c r="E15" s="316" t="s">
        <v>612</v>
      </c>
      <c r="F15" s="27"/>
      <c r="G15" s="4">
        <v>99</v>
      </c>
      <c r="H15" s="4"/>
      <c r="I15" s="4">
        <f t="shared" si="0"/>
        <v>-6398.9400000000005</v>
      </c>
    </row>
    <row r="16" spans="1:20" x14ac:dyDescent="0.2">
      <c r="A16" s="27"/>
      <c r="B16" s="12">
        <v>7118</v>
      </c>
      <c r="C16" s="320">
        <v>42934</v>
      </c>
      <c r="D16" s="318" t="s">
        <v>573</v>
      </c>
      <c r="E16" s="316" t="s">
        <v>613</v>
      </c>
      <c r="F16" s="27"/>
      <c r="G16" s="4">
        <v>99.8</v>
      </c>
      <c r="H16" s="4"/>
      <c r="I16" s="4">
        <f t="shared" si="0"/>
        <v>-6498.7400000000007</v>
      </c>
    </row>
    <row r="17" spans="1:9" x14ac:dyDescent="0.2">
      <c r="A17" s="27"/>
      <c r="B17" s="12">
        <v>7119</v>
      </c>
      <c r="C17" s="320">
        <v>42934</v>
      </c>
      <c r="D17" s="318" t="s">
        <v>573</v>
      </c>
      <c r="E17" s="316" t="s">
        <v>614</v>
      </c>
      <c r="F17" s="27"/>
      <c r="G17" s="4">
        <v>170.27</v>
      </c>
      <c r="H17" s="4"/>
      <c r="I17" s="4">
        <f t="shared" si="0"/>
        <v>-6669.0100000000011</v>
      </c>
    </row>
    <row r="18" spans="1:9" x14ac:dyDescent="0.2">
      <c r="A18" s="27"/>
      <c r="B18" s="12">
        <v>7119</v>
      </c>
      <c r="C18" s="320">
        <v>42934</v>
      </c>
      <c r="D18" s="318" t="s">
        <v>570</v>
      </c>
      <c r="E18" s="316" t="s">
        <v>97</v>
      </c>
      <c r="F18" s="27"/>
      <c r="G18" s="4">
        <v>26.99</v>
      </c>
      <c r="H18" s="4"/>
      <c r="I18" s="4">
        <f t="shared" si="0"/>
        <v>-6696.0000000000009</v>
      </c>
    </row>
    <row r="19" spans="1:9" x14ac:dyDescent="0.2">
      <c r="A19" s="27"/>
      <c r="B19" s="12">
        <v>7120</v>
      </c>
      <c r="C19" s="320">
        <v>42934</v>
      </c>
      <c r="D19" s="318" t="s">
        <v>63</v>
      </c>
      <c r="E19" s="316" t="s">
        <v>615</v>
      </c>
      <c r="F19" s="27"/>
      <c r="G19" s="4">
        <v>4543.8999999999996</v>
      </c>
      <c r="H19" s="4"/>
      <c r="I19" s="4">
        <f t="shared" si="0"/>
        <v>-11239.900000000001</v>
      </c>
    </row>
    <row r="20" spans="1:9" x14ac:dyDescent="0.2">
      <c r="A20" s="27"/>
      <c r="B20" s="12">
        <v>7121</v>
      </c>
      <c r="C20" s="320">
        <v>42934</v>
      </c>
      <c r="D20" s="318" t="s">
        <v>109</v>
      </c>
      <c r="E20" s="316" t="s">
        <v>616</v>
      </c>
      <c r="F20" s="27"/>
      <c r="G20" s="4">
        <v>1071.21</v>
      </c>
      <c r="H20" s="4"/>
      <c r="I20" s="4">
        <f t="shared" si="0"/>
        <v>-12311.11</v>
      </c>
    </row>
    <row r="21" spans="1:9" x14ac:dyDescent="0.2">
      <c r="A21" s="27"/>
      <c r="B21" s="12">
        <v>7122</v>
      </c>
      <c r="C21" s="320">
        <v>42934</v>
      </c>
      <c r="D21" s="318" t="s">
        <v>575</v>
      </c>
      <c r="E21" s="316" t="s">
        <v>617</v>
      </c>
      <c r="F21" s="27"/>
      <c r="G21" s="4">
        <v>52.99</v>
      </c>
      <c r="H21" s="4"/>
      <c r="I21" s="4">
        <f t="shared" si="0"/>
        <v>-12364.1</v>
      </c>
    </row>
    <row r="22" spans="1:9" x14ac:dyDescent="0.2">
      <c r="A22" s="27"/>
      <c r="B22" s="12" t="s">
        <v>618</v>
      </c>
      <c r="C22" s="320">
        <v>42934</v>
      </c>
      <c r="D22" s="318" t="s">
        <v>33</v>
      </c>
      <c r="E22" s="316" t="s">
        <v>34</v>
      </c>
      <c r="F22" s="27"/>
      <c r="G22" s="4">
        <v>0</v>
      </c>
      <c r="H22" s="4">
        <v>21</v>
      </c>
      <c r="I22" s="4">
        <f t="shared" si="0"/>
        <v>-12343.1</v>
      </c>
    </row>
    <row r="23" spans="1:9" x14ac:dyDescent="0.2">
      <c r="A23" s="27"/>
      <c r="B23" s="12" t="s">
        <v>618</v>
      </c>
      <c r="C23" s="320">
        <v>42934</v>
      </c>
      <c r="D23" s="318" t="s">
        <v>26</v>
      </c>
      <c r="E23" s="316" t="s">
        <v>27</v>
      </c>
      <c r="F23" s="27"/>
      <c r="G23" s="4">
        <v>0</v>
      </c>
      <c r="H23" s="4">
        <v>21</v>
      </c>
      <c r="I23" s="4">
        <f t="shared" si="0"/>
        <v>-12322.1</v>
      </c>
    </row>
    <row r="24" spans="1:9" x14ac:dyDescent="0.2">
      <c r="A24" s="27"/>
      <c r="B24" s="12" t="s">
        <v>618</v>
      </c>
      <c r="C24" s="320">
        <v>42934</v>
      </c>
      <c r="D24" s="318" t="s">
        <v>113</v>
      </c>
      <c r="E24" s="316" t="s">
        <v>114</v>
      </c>
      <c r="F24" s="27"/>
      <c r="G24" s="4">
        <v>0</v>
      </c>
      <c r="H24" s="4">
        <v>55</v>
      </c>
      <c r="I24" s="4">
        <f t="shared" si="0"/>
        <v>-12267.1</v>
      </c>
    </row>
    <row r="25" spans="1:9" x14ac:dyDescent="0.2">
      <c r="A25" s="27"/>
      <c r="B25" s="12" t="s">
        <v>618</v>
      </c>
      <c r="C25" s="320">
        <v>42934</v>
      </c>
      <c r="D25" s="318" t="s">
        <v>39</v>
      </c>
      <c r="E25" s="316" t="s">
        <v>619</v>
      </c>
      <c r="F25" s="27"/>
      <c r="G25" s="4"/>
      <c r="H25" s="4">
        <v>97.25</v>
      </c>
      <c r="I25" s="4">
        <f t="shared" si="0"/>
        <v>-12169.85</v>
      </c>
    </row>
    <row r="26" spans="1:9" x14ac:dyDescent="0.2">
      <c r="A26" s="27"/>
      <c r="B26" s="12" t="s">
        <v>618</v>
      </c>
      <c r="C26" s="320">
        <v>42934</v>
      </c>
      <c r="D26" s="318" t="s">
        <v>23</v>
      </c>
      <c r="E26" s="316" t="s">
        <v>620</v>
      </c>
      <c r="F26" s="27"/>
      <c r="G26" s="4"/>
      <c r="H26" s="4">
        <v>32.950000000000003</v>
      </c>
      <c r="I26" s="4">
        <f t="shared" si="0"/>
        <v>-12136.9</v>
      </c>
    </row>
    <row r="27" spans="1:9" x14ac:dyDescent="0.2">
      <c r="A27" s="27"/>
      <c r="B27" s="12" t="s">
        <v>618</v>
      </c>
      <c r="C27" s="320">
        <v>42934</v>
      </c>
      <c r="D27" s="318" t="s">
        <v>69</v>
      </c>
      <c r="E27" s="316" t="s">
        <v>70</v>
      </c>
      <c r="F27" s="27"/>
      <c r="G27" s="4"/>
      <c r="H27" s="4">
        <v>5135.58</v>
      </c>
      <c r="I27" s="4">
        <f t="shared" si="0"/>
        <v>-7001.32</v>
      </c>
    </row>
    <row r="28" spans="1:9" x14ac:dyDescent="0.2">
      <c r="A28" s="27"/>
      <c r="B28" s="12" t="s">
        <v>618</v>
      </c>
      <c r="C28" s="320">
        <v>42934</v>
      </c>
      <c r="D28" s="318" t="s">
        <v>69</v>
      </c>
      <c r="E28" s="316" t="s">
        <v>621</v>
      </c>
      <c r="F28" s="27"/>
      <c r="G28" s="4"/>
      <c r="H28" s="4">
        <v>1642</v>
      </c>
      <c r="I28" s="4">
        <f t="shared" si="0"/>
        <v>-5359.32</v>
      </c>
    </row>
    <row r="29" spans="1:9" x14ac:dyDescent="0.2">
      <c r="A29" s="27"/>
      <c r="B29" s="12" t="s">
        <v>618</v>
      </c>
      <c r="C29" s="320">
        <v>42934</v>
      </c>
      <c r="D29" s="318" t="s">
        <v>81</v>
      </c>
      <c r="E29" s="316" t="s">
        <v>82</v>
      </c>
      <c r="F29" s="27"/>
      <c r="G29" s="4"/>
      <c r="H29" s="4">
        <v>160.46250000000001</v>
      </c>
      <c r="I29" s="4">
        <f t="shared" si="0"/>
        <v>-5198.8575000000001</v>
      </c>
    </row>
    <row r="30" spans="1:9" x14ac:dyDescent="0.2">
      <c r="A30" s="27"/>
      <c r="B30" s="12" t="s">
        <v>618</v>
      </c>
      <c r="C30" s="320">
        <v>42934</v>
      </c>
      <c r="D30" s="318" t="s">
        <v>20</v>
      </c>
      <c r="E30" s="316" t="s">
        <v>21</v>
      </c>
      <c r="F30" s="27"/>
      <c r="G30" s="4"/>
      <c r="H30" s="4">
        <v>36</v>
      </c>
      <c r="I30" s="4">
        <f t="shared" si="0"/>
        <v>-5162.8575000000001</v>
      </c>
    </row>
    <row r="31" spans="1:9" x14ac:dyDescent="0.2">
      <c r="A31" s="27"/>
      <c r="B31" s="12" t="s">
        <v>618</v>
      </c>
      <c r="C31" s="320">
        <v>42934</v>
      </c>
      <c r="D31" s="318" t="s">
        <v>36</v>
      </c>
      <c r="E31" s="316" t="s">
        <v>622</v>
      </c>
      <c r="F31" s="27"/>
      <c r="G31" s="4"/>
      <c r="H31" s="4">
        <v>15</v>
      </c>
      <c r="I31" s="4">
        <f t="shared" si="0"/>
        <v>-5147.8575000000001</v>
      </c>
    </row>
    <row r="32" spans="1:9" x14ac:dyDescent="0.2">
      <c r="A32" s="27"/>
      <c r="B32" s="12" t="s">
        <v>618</v>
      </c>
      <c r="C32" s="320">
        <v>42934</v>
      </c>
      <c r="D32" s="318" t="s">
        <v>28</v>
      </c>
      <c r="E32" s="316" t="s">
        <v>29</v>
      </c>
      <c r="F32" s="27"/>
      <c r="G32" s="4"/>
      <c r="H32" s="4">
        <v>3.65</v>
      </c>
      <c r="I32" s="4">
        <f t="shared" si="0"/>
        <v>-5144.2075000000004</v>
      </c>
    </row>
    <row r="33" spans="1:9" x14ac:dyDescent="0.2">
      <c r="A33" s="27"/>
      <c r="B33" s="12" t="s">
        <v>618</v>
      </c>
      <c r="C33" s="320">
        <v>42934</v>
      </c>
      <c r="D33" s="318" t="s">
        <v>20</v>
      </c>
      <c r="E33" s="316" t="s">
        <v>21</v>
      </c>
      <c r="F33" s="27"/>
      <c r="G33" s="4"/>
      <c r="H33" s="4">
        <v>881</v>
      </c>
      <c r="I33" s="4">
        <f t="shared" si="0"/>
        <v>-4263.2075000000004</v>
      </c>
    </row>
    <row r="34" spans="1:9" x14ac:dyDescent="0.2">
      <c r="A34" s="27"/>
      <c r="B34" s="12" t="s">
        <v>618</v>
      </c>
      <c r="C34" s="320">
        <v>42934</v>
      </c>
      <c r="D34" s="318" t="s">
        <v>28</v>
      </c>
      <c r="E34" s="316" t="s">
        <v>29</v>
      </c>
      <c r="F34" s="27"/>
      <c r="G34" s="4"/>
      <c r="H34" s="4">
        <v>14.5</v>
      </c>
      <c r="I34" s="4">
        <f t="shared" si="0"/>
        <v>-4248.7075000000004</v>
      </c>
    </row>
    <row r="35" spans="1:9" x14ac:dyDescent="0.2">
      <c r="A35" s="27"/>
      <c r="B35" s="12">
        <v>7123</v>
      </c>
      <c r="C35" s="320">
        <v>42948</v>
      </c>
      <c r="D35" s="318" t="s">
        <v>91</v>
      </c>
      <c r="E35" s="316" t="s">
        <v>623</v>
      </c>
      <c r="F35" s="27"/>
      <c r="G35" s="4">
        <v>1065</v>
      </c>
      <c r="H35" s="4"/>
      <c r="I35" s="4">
        <f t="shared" ref="I35:I66" si="1">I34+H35-G35</f>
        <v>-5313.7075000000004</v>
      </c>
    </row>
    <row r="36" spans="1:9" x14ac:dyDescent="0.2">
      <c r="A36" s="27"/>
      <c r="B36" s="12">
        <v>7124</v>
      </c>
      <c r="C36" s="320">
        <v>42948</v>
      </c>
      <c r="D36" s="320" t="s">
        <v>51</v>
      </c>
      <c r="E36" s="316" t="s">
        <v>624</v>
      </c>
      <c r="F36" s="27"/>
      <c r="G36" s="4">
        <v>180</v>
      </c>
      <c r="H36" s="4"/>
      <c r="I36" s="4">
        <f t="shared" si="1"/>
        <v>-5493.7075000000004</v>
      </c>
    </row>
    <row r="37" spans="1:9" x14ac:dyDescent="0.2">
      <c r="A37" s="27"/>
      <c r="B37" s="12">
        <v>7125</v>
      </c>
      <c r="C37" s="320">
        <v>42948</v>
      </c>
      <c r="D37" s="318" t="s">
        <v>522</v>
      </c>
      <c r="E37" s="316" t="s">
        <v>625</v>
      </c>
      <c r="F37" s="27"/>
      <c r="G37" s="4">
        <v>82.68</v>
      </c>
      <c r="H37" s="4"/>
      <c r="I37" s="4">
        <f t="shared" si="1"/>
        <v>-5576.3875000000007</v>
      </c>
    </row>
    <row r="38" spans="1:9" x14ac:dyDescent="0.2">
      <c r="A38" s="27"/>
      <c r="B38" s="12">
        <v>7126</v>
      </c>
      <c r="C38" s="320">
        <v>42948</v>
      </c>
      <c r="D38" s="318" t="s">
        <v>427</v>
      </c>
      <c r="E38" s="316" t="s">
        <v>626</v>
      </c>
      <c r="F38" s="27"/>
      <c r="G38" s="4">
        <v>58.06</v>
      </c>
      <c r="H38" s="4"/>
      <c r="I38" s="4">
        <f t="shared" si="1"/>
        <v>-5634.4475000000011</v>
      </c>
    </row>
    <row r="39" spans="1:9" x14ac:dyDescent="0.2">
      <c r="A39" s="27"/>
      <c r="B39" s="12">
        <v>7127</v>
      </c>
      <c r="C39" s="320">
        <v>42948</v>
      </c>
      <c r="D39" s="318" t="s">
        <v>570</v>
      </c>
      <c r="E39" s="316" t="s">
        <v>97</v>
      </c>
      <c r="F39" s="27"/>
      <c r="G39" s="4">
        <v>194.65</v>
      </c>
      <c r="H39" s="4"/>
      <c r="I39" s="4">
        <f t="shared" si="1"/>
        <v>-5829.0975000000008</v>
      </c>
    </row>
    <row r="40" spans="1:9" x14ac:dyDescent="0.2">
      <c r="A40" s="27"/>
      <c r="B40" s="12">
        <v>7128</v>
      </c>
      <c r="C40" s="320">
        <v>42948</v>
      </c>
      <c r="D40" s="318" t="s">
        <v>117</v>
      </c>
      <c r="E40" s="316" t="s">
        <v>627</v>
      </c>
      <c r="F40" s="27"/>
      <c r="G40" s="4">
        <v>698.22</v>
      </c>
      <c r="H40" s="4"/>
      <c r="I40" s="4">
        <f t="shared" si="1"/>
        <v>-6527.317500000001</v>
      </c>
    </row>
    <row r="41" spans="1:9" x14ac:dyDescent="0.2">
      <c r="A41" s="27"/>
      <c r="B41" s="12">
        <v>7129</v>
      </c>
      <c r="C41" s="320">
        <v>42948</v>
      </c>
      <c r="D41" s="318" t="s">
        <v>186</v>
      </c>
      <c r="E41" s="316" t="s">
        <v>628</v>
      </c>
      <c r="F41" s="27"/>
      <c r="G41" s="4">
        <v>467.6</v>
      </c>
      <c r="H41" s="4"/>
      <c r="I41" s="4">
        <f t="shared" si="1"/>
        <v>-6994.9175000000014</v>
      </c>
    </row>
    <row r="42" spans="1:9" x14ac:dyDescent="0.2">
      <c r="A42" s="27"/>
      <c r="B42" s="12">
        <v>7130</v>
      </c>
      <c r="C42" s="320">
        <v>42982</v>
      </c>
      <c r="D42" s="318" t="s">
        <v>530</v>
      </c>
      <c r="E42" s="316" t="s">
        <v>629</v>
      </c>
      <c r="F42" s="27"/>
      <c r="G42" s="4">
        <v>41.32</v>
      </c>
      <c r="H42" s="4"/>
      <c r="I42" s="4">
        <f t="shared" si="1"/>
        <v>-7036.2375000000011</v>
      </c>
    </row>
    <row r="43" spans="1:9" x14ac:dyDescent="0.2">
      <c r="A43" s="27"/>
      <c r="B43" s="12">
        <v>7131</v>
      </c>
      <c r="C43" s="320">
        <v>42982</v>
      </c>
      <c r="D43" s="318" t="s">
        <v>522</v>
      </c>
      <c r="E43" s="316" t="s">
        <v>604</v>
      </c>
      <c r="F43" s="27"/>
      <c r="G43" s="4">
        <v>32.799999999999997</v>
      </c>
      <c r="H43" s="4"/>
      <c r="I43" s="4">
        <f t="shared" si="1"/>
        <v>-7069.0375000000013</v>
      </c>
    </row>
    <row r="44" spans="1:9" x14ac:dyDescent="0.2">
      <c r="A44" s="27"/>
      <c r="B44" s="12" t="s">
        <v>618</v>
      </c>
      <c r="C44" s="13">
        <v>42948</v>
      </c>
      <c r="D44" s="318" t="s">
        <v>33</v>
      </c>
      <c r="E44" s="316" t="s">
        <v>34</v>
      </c>
      <c r="F44" s="27"/>
      <c r="G44" s="4"/>
      <c r="H44" s="4">
        <v>27</v>
      </c>
      <c r="I44" s="4">
        <f t="shared" si="1"/>
        <v>-7042.0375000000013</v>
      </c>
    </row>
    <row r="45" spans="1:9" x14ac:dyDescent="0.2">
      <c r="A45" s="27"/>
      <c r="B45" s="12" t="s">
        <v>618</v>
      </c>
      <c r="C45" s="13">
        <v>42948</v>
      </c>
      <c r="D45" s="318" t="s">
        <v>26</v>
      </c>
      <c r="E45" s="316" t="s">
        <v>27</v>
      </c>
      <c r="F45" s="27"/>
      <c r="G45" s="4"/>
      <c r="H45" s="4">
        <v>46</v>
      </c>
      <c r="I45" s="4">
        <f t="shared" si="1"/>
        <v>-6996.0375000000013</v>
      </c>
    </row>
    <row r="46" spans="1:9" x14ac:dyDescent="0.2">
      <c r="A46" s="27"/>
      <c r="B46" s="12" t="s">
        <v>618</v>
      </c>
      <c r="C46" s="13">
        <v>42948</v>
      </c>
      <c r="D46" s="318" t="s">
        <v>113</v>
      </c>
      <c r="E46" s="316" t="s">
        <v>114</v>
      </c>
      <c r="F46" s="27"/>
      <c r="G46" s="4"/>
      <c r="H46" s="4">
        <v>76</v>
      </c>
      <c r="I46" s="4">
        <f t="shared" si="1"/>
        <v>-6920.0375000000013</v>
      </c>
    </row>
    <row r="47" spans="1:9" ht="15" x14ac:dyDescent="0.25">
      <c r="A47" s="27"/>
      <c r="B47" s="12" t="s">
        <v>618</v>
      </c>
      <c r="C47" s="13">
        <v>42948</v>
      </c>
      <c r="D47" s="318" t="s">
        <v>155</v>
      </c>
      <c r="E47" s="316" t="s">
        <v>157</v>
      </c>
      <c r="F47" s="27"/>
      <c r="G47" s="4"/>
      <c r="H47" s="53">
        <v>352</v>
      </c>
      <c r="I47" s="4">
        <f t="shared" si="1"/>
        <v>-6568.0375000000013</v>
      </c>
    </row>
    <row r="48" spans="1:9" x14ac:dyDescent="0.2">
      <c r="A48" s="27"/>
      <c r="B48" s="319">
        <v>7132</v>
      </c>
      <c r="C48" s="13">
        <v>42982</v>
      </c>
      <c r="D48" s="318" t="s">
        <v>91</v>
      </c>
      <c r="E48" s="316" t="s">
        <v>607</v>
      </c>
      <c r="F48" s="27"/>
      <c r="G48" s="4">
        <v>95.72</v>
      </c>
      <c r="H48" s="4"/>
      <c r="I48" s="4">
        <f t="shared" si="1"/>
        <v>-6663.7575000000015</v>
      </c>
    </row>
    <row r="49" spans="1:9" x14ac:dyDescent="0.2">
      <c r="A49" s="27"/>
      <c r="B49" s="12">
        <v>7133</v>
      </c>
      <c r="C49" s="13">
        <v>42982</v>
      </c>
      <c r="D49" s="318" t="s">
        <v>427</v>
      </c>
      <c r="E49" s="316" t="s">
        <v>17</v>
      </c>
      <c r="F49" s="27"/>
      <c r="G49" s="4">
        <v>44.7</v>
      </c>
      <c r="H49" s="4"/>
      <c r="I49" s="4">
        <f t="shared" si="1"/>
        <v>-6708.4575000000013</v>
      </c>
    </row>
    <row r="50" spans="1:9" x14ac:dyDescent="0.2">
      <c r="A50" s="27"/>
      <c r="B50" s="12">
        <v>7134</v>
      </c>
      <c r="C50" s="13">
        <v>42982</v>
      </c>
      <c r="D50" s="318" t="s">
        <v>570</v>
      </c>
      <c r="E50" s="316" t="s">
        <v>97</v>
      </c>
      <c r="F50" s="27"/>
      <c r="G50" s="4">
        <v>197.57</v>
      </c>
      <c r="H50" s="4"/>
      <c r="I50" s="4">
        <f t="shared" si="1"/>
        <v>-6906.0275000000011</v>
      </c>
    </row>
    <row r="51" spans="1:9" x14ac:dyDescent="0.2">
      <c r="A51" s="27"/>
      <c r="B51" s="12">
        <v>7134</v>
      </c>
      <c r="C51" s="13">
        <v>42982</v>
      </c>
      <c r="D51" s="318" t="s">
        <v>124</v>
      </c>
      <c r="E51" s="316" t="s">
        <v>630</v>
      </c>
      <c r="F51" s="27"/>
      <c r="G51" s="4">
        <v>436.45</v>
      </c>
      <c r="H51" s="4"/>
      <c r="I51" s="4">
        <f t="shared" si="1"/>
        <v>-7342.4775000000009</v>
      </c>
    </row>
    <row r="52" spans="1:9" x14ac:dyDescent="0.2">
      <c r="A52" s="27"/>
      <c r="B52" s="12">
        <v>7135</v>
      </c>
      <c r="C52" s="13">
        <v>42982</v>
      </c>
      <c r="D52" s="318" t="s">
        <v>522</v>
      </c>
      <c r="E52" s="316" t="s">
        <v>604</v>
      </c>
      <c r="F52" s="27"/>
      <c r="G52" s="4">
        <v>319.81</v>
      </c>
      <c r="H52" s="4"/>
      <c r="I52" s="4">
        <f t="shared" si="1"/>
        <v>-7662.2875000000013</v>
      </c>
    </row>
    <row r="53" spans="1:9" x14ac:dyDescent="0.2">
      <c r="A53" s="27"/>
      <c r="B53" s="12">
        <v>7136</v>
      </c>
      <c r="C53" s="13">
        <v>42982</v>
      </c>
      <c r="D53" s="318" t="s">
        <v>51</v>
      </c>
      <c r="E53" s="316" t="s">
        <v>631</v>
      </c>
      <c r="F53" s="27"/>
      <c r="G53" s="4">
        <v>218.18</v>
      </c>
      <c r="H53" s="4"/>
      <c r="I53" s="4">
        <f t="shared" si="1"/>
        <v>-7880.4675000000016</v>
      </c>
    </row>
    <row r="54" spans="1:9" x14ac:dyDescent="0.2">
      <c r="A54" s="27"/>
      <c r="B54" s="12">
        <v>7137</v>
      </c>
      <c r="C54" s="13">
        <v>42982</v>
      </c>
      <c r="D54" s="318" t="s">
        <v>522</v>
      </c>
      <c r="E54" s="316" t="s">
        <v>632</v>
      </c>
      <c r="F54" s="27"/>
      <c r="G54" s="4">
        <v>108.55</v>
      </c>
      <c r="H54" s="4"/>
      <c r="I54" s="4">
        <f t="shared" si="1"/>
        <v>-7989.0175000000017</v>
      </c>
    </row>
    <row r="55" spans="1:9" x14ac:dyDescent="0.2">
      <c r="A55" s="27"/>
      <c r="B55" s="12">
        <v>7138</v>
      </c>
      <c r="C55" s="13">
        <v>42982</v>
      </c>
      <c r="D55" s="318" t="s">
        <v>51</v>
      </c>
      <c r="E55" s="316" t="s">
        <v>633</v>
      </c>
      <c r="F55" s="27"/>
      <c r="G55" s="4">
        <v>7500</v>
      </c>
      <c r="H55" s="4"/>
      <c r="I55" s="4">
        <f t="shared" si="1"/>
        <v>-15489.017500000002</v>
      </c>
    </row>
    <row r="56" spans="1:9" x14ac:dyDescent="0.2">
      <c r="A56" s="27"/>
      <c r="B56" s="12">
        <v>7139</v>
      </c>
      <c r="C56" s="13">
        <v>42982</v>
      </c>
      <c r="D56" s="318" t="s">
        <v>568</v>
      </c>
      <c r="E56" s="316" t="s">
        <v>634</v>
      </c>
      <c r="F56" s="27"/>
      <c r="G56" s="4">
        <v>500</v>
      </c>
      <c r="H56" s="4"/>
      <c r="I56" s="4">
        <f t="shared" si="1"/>
        <v>-15989.017500000002</v>
      </c>
    </row>
    <row r="57" spans="1:9" x14ac:dyDescent="0.2">
      <c r="A57" s="27"/>
      <c r="B57" s="12">
        <v>7140</v>
      </c>
      <c r="C57" s="13">
        <v>42982</v>
      </c>
      <c r="D57" s="318" t="s">
        <v>564</v>
      </c>
      <c r="E57" s="316" t="s">
        <v>475</v>
      </c>
      <c r="F57" s="27"/>
      <c r="G57" s="4">
        <v>12000</v>
      </c>
      <c r="H57" s="4"/>
      <c r="I57" s="4">
        <f t="shared" si="1"/>
        <v>-27989.017500000002</v>
      </c>
    </row>
    <row r="58" spans="1:9" x14ac:dyDescent="0.2">
      <c r="A58" s="27"/>
      <c r="B58" s="12">
        <v>7141</v>
      </c>
      <c r="C58" s="13">
        <v>42982</v>
      </c>
      <c r="D58" s="318" t="s">
        <v>522</v>
      </c>
      <c r="E58" s="316" t="s">
        <v>635</v>
      </c>
      <c r="F58" s="27"/>
      <c r="G58" s="4">
        <v>33.79</v>
      </c>
      <c r="H58" s="4"/>
      <c r="I58" s="4">
        <f t="shared" si="1"/>
        <v>-28022.807500000003</v>
      </c>
    </row>
    <row r="59" spans="1:9" x14ac:dyDescent="0.2">
      <c r="A59" s="27"/>
      <c r="B59" s="12">
        <v>7142</v>
      </c>
      <c r="C59" s="13">
        <v>42982</v>
      </c>
      <c r="D59" s="318" t="s">
        <v>636</v>
      </c>
      <c r="E59" s="316" t="s">
        <v>637</v>
      </c>
      <c r="F59" s="27"/>
      <c r="G59" s="4">
        <v>500</v>
      </c>
      <c r="H59" s="4"/>
      <c r="I59" s="4">
        <f t="shared" si="1"/>
        <v>-28522.807500000003</v>
      </c>
    </row>
    <row r="60" spans="1:9" x14ac:dyDescent="0.2">
      <c r="A60" s="27"/>
      <c r="B60" s="12">
        <v>7143</v>
      </c>
      <c r="C60" s="13">
        <v>42982</v>
      </c>
      <c r="D60" s="318" t="s">
        <v>487</v>
      </c>
      <c r="E60" s="316" t="s">
        <v>638</v>
      </c>
      <c r="F60" s="27"/>
      <c r="G60" s="4">
        <v>120.15</v>
      </c>
      <c r="H60" s="4"/>
      <c r="I60" s="4">
        <f t="shared" si="1"/>
        <v>-28642.957500000004</v>
      </c>
    </row>
    <row r="61" spans="1:9" x14ac:dyDescent="0.2">
      <c r="A61" s="27"/>
      <c r="B61" s="12">
        <v>7144</v>
      </c>
      <c r="C61" s="13">
        <v>42982</v>
      </c>
      <c r="D61" s="318" t="s">
        <v>487</v>
      </c>
      <c r="E61" s="316" t="s">
        <v>628</v>
      </c>
      <c r="F61" s="27"/>
      <c r="G61" s="4">
        <v>298.77</v>
      </c>
      <c r="H61" s="4"/>
      <c r="I61" s="4">
        <f t="shared" si="1"/>
        <v>-28941.727500000005</v>
      </c>
    </row>
    <row r="62" spans="1:9" x14ac:dyDescent="0.2">
      <c r="A62" s="27"/>
      <c r="B62" s="12" t="s">
        <v>618</v>
      </c>
      <c r="C62" s="13">
        <v>42997</v>
      </c>
      <c r="D62" s="318" t="s">
        <v>33</v>
      </c>
      <c r="E62" s="316" t="s">
        <v>34</v>
      </c>
      <c r="F62" s="27"/>
      <c r="G62" s="4">
        <v>0</v>
      </c>
      <c r="H62" s="4">
        <v>33</v>
      </c>
      <c r="I62" s="4">
        <f t="shared" si="1"/>
        <v>-28908.727500000005</v>
      </c>
    </row>
    <row r="63" spans="1:9" x14ac:dyDescent="0.2">
      <c r="A63" s="27"/>
      <c r="B63" s="12" t="s">
        <v>618</v>
      </c>
      <c r="C63" s="13">
        <v>42997</v>
      </c>
      <c r="D63" s="318" t="s">
        <v>26</v>
      </c>
      <c r="E63" s="316" t="s">
        <v>27</v>
      </c>
      <c r="F63" s="27"/>
      <c r="G63" s="4">
        <v>0</v>
      </c>
      <c r="H63" s="4">
        <v>59</v>
      </c>
      <c r="I63" s="4">
        <f t="shared" si="1"/>
        <v>-28849.727500000005</v>
      </c>
    </row>
    <row r="64" spans="1:9" x14ac:dyDescent="0.2">
      <c r="A64" s="27"/>
      <c r="B64" s="12" t="s">
        <v>618</v>
      </c>
      <c r="C64" s="13">
        <v>42997</v>
      </c>
      <c r="D64" s="318" t="s">
        <v>113</v>
      </c>
      <c r="E64" s="316" t="s">
        <v>114</v>
      </c>
      <c r="F64" s="27"/>
      <c r="G64" s="4">
        <v>0</v>
      </c>
      <c r="H64" s="4">
        <v>65</v>
      </c>
      <c r="I64" s="4">
        <f t="shared" si="1"/>
        <v>-28784.727500000005</v>
      </c>
    </row>
    <row r="65" spans="1:9" x14ac:dyDescent="0.2">
      <c r="A65" s="27"/>
      <c r="B65" s="12" t="s">
        <v>618</v>
      </c>
      <c r="C65" s="13">
        <v>42997</v>
      </c>
      <c r="D65" s="318" t="s">
        <v>128</v>
      </c>
      <c r="E65" s="316" t="s">
        <v>129</v>
      </c>
      <c r="F65" s="27"/>
      <c r="G65" s="4">
        <v>0</v>
      </c>
      <c r="H65" s="4">
        <v>758.4</v>
      </c>
      <c r="I65" s="4">
        <f t="shared" si="1"/>
        <v>-28026.327500000003</v>
      </c>
    </row>
    <row r="66" spans="1:9" x14ac:dyDescent="0.2">
      <c r="A66" s="27"/>
      <c r="B66" s="12" t="s">
        <v>618</v>
      </c>
      <c r="C66" s="13">
        <v>42997</v>
      </c>
      <c r="D66" s="318" t="s">
        <v>23</v>
      </c>
      <c r="E66" s="316" t="s">
        <v>639</v>
      </c>
      <c r="F66" s="27"/>
      <c r="G66" s="4">
        <v>0</v>
      </c>
      <c r="H66" s="4">
        <v>887.08</v>
      </c>
      <c r="I66" s="4">
        <f t="shared" si="1"/>
        <v>-27139.247500000001</v>
      </c>
    </row>
    <row r="67" spans="1:9" x14ac:dyDescent="0.2">
      <c r="A67" s="27"/>
      <c r="B67" s="12" t="s">
        <v>618</v>
      </c>
      <c r="C67" s="13">
        <v>42997</v>
      </c>
      <c r="D67" s="318" t="s">
        <v>39</v>
      </c>
      <c r="E67" s="316" t="s">
        <v>640</v>
      </c>
      <c r="F67" s="27"/>
      <c r="G67" s="4">
        <v>0</v>
      </c>
      <c r="H67" s="4">
        <v>84</v>
      </c>
      <c r="I67" s="4">
        <f t="shared" ref="I67:I83" si="2">I66+H67-G67</f>
        <v>-27055.247500000001</v>
      </c>
    </row>
    <row r="68" spans="1:9" x14ac:dyDescent="0.2">
      <c r="A68" s="27"/>
      <c r="B68" s="12">
        <v>7145</v>
      </c>
      <c r="C68" s="320">
        <v>42982</v>
      </c>
      <c r="D68" s="318" t="s">
        <v>186</v>
      </c>
      <c r="E68" s="316" t="s">
        <v>628</v>
      </c>
      <c r="F68" s="27"/>
      <c r="G68" s="4">
        <v>1500</v>
      </c>
      <c r="H68" s="4"/>
      <c r="I68" s="4">
        <f t="shared" si="2"/>
        <v>-28555.247500000001</v>
      </c>
    </row>
    <row r="69" spans="1:9" x14ac:dyDescent="0.2">
      <c r="A69" s="27"/>
      <c r="B69" s="12">
        <v>7146</v>
      </c>
      <c r="C69" s="320">
        <v>42997</v>
      </c>
      <c r="D69" s="318" t="s">
        <v>530</v>
      </c>
      <c r="E69" s="316" t="s">
        <v>629</v>
      </c>
      <c r="F69" s="27"/>
      <c r="G69" s="4">
        <v>46.26</v>
      </c>
      <c r="H69" s="4"/>
      <c r="I69" s="4">
        <f t="shared" si="2"/>
        <v>-28601.5075</v>
      </c>
    </row>
    <row r="70" spans="1:9" x14ac:dyDescent="0.2">
      <c r="A70" s="27"/>
      <c r="B70" s="12">
        <v>7147</v>
      </c>
      <c r="C70" s="320">
        <v>42997</v>
      </c>
      <c r="D70" s="318" t="s">
        <v>16</v>
      </c>
      <c r="E70" s="316" t="s">
        <v>108</v>
      </c>
      <c r="F70" s="27"/>
      <c r="G70" s="4">
        <v>548.21</v>
      </c>
      <c r="H70" s="4"/>
      <c r="I70" s="4">
        <f t="shared" si="2"/>
        <v>-29149.717499999999</v>
      </c>
    </row>
    <row r="71" spans="1:9" x14ac:dyDescent="0.2">
      <c r="A71" s="27"/>
      <c r="B71" s="12">
        <v>7147</v>
      </c>
      <c r="C71" s="320">
        <v>42997</v>
      </c>
      <c r="D71" s="318" t="s">
        <v>641</v>
      </c>
      <c r="E71" s="316" t="s">
        <v>642</v>
      </c>
      <c r="F71" s="27"/>
      <c r="G71" s="4">
        <v>87.63</v>
      </c>
      <c r="H71" s="4"/>
      <c r="I71" s="4">
        <f t="shared" si="2"/>
        <v>-29237.3475</v>
      </c>
    </row>
    <row r="72" spans="1:9" x14ac:dyDescent="0.2">
      <c r="A72" s="27"/>
      <c r="B72" s="12">
        <v>7148</v>
      </c>
      <c r="C72" s="320">
        <v>42997</v>
      </c>
      <c r="D72" s="318" t="s">
        <v>427</v>
      </c>
      <c r="E72" s="316" t="s">
        <v>17</v>
      </c>
      <c r="F72" s="27"/>
      <c r="G72" s="4">
        <v>384.47</v>
      </c>
      <c r="H72" s="4"/>
      <c r="I72" s="4">
        <f t="shared" si="2"/>
        <v>-29621.817500000001</v>
      </c>
    </row>
    <row r="73" spans="1:9" x14ac:dyDescent="0.2">
      <c r="A73" s="27"/>
      <c r="B73" s="12">
        <v>7149</v>
      </c>
      <c r="C73" s="320">
        <v>42997</v>
      </c>
      <c r="D73" s="318" t="s">
        <v>574</v>
      </c>
      <c r="E73" s="316" t="s">
        <v>643</v>
      </c>
      <c r="F73" s="27"/>
      <c r="G73" s="4">
        <v>5800</v>
      </c>
      <c r="H73" s="4"/>
      <c r="I73" s="4">
        <f t="shared" si="2"/>
        <v>-35421.817500000005</v>
      </c>
    </row>
    <row r="74" spans="1:9" x14ac:dyDescent="0.2">
      <c r="A74" s="27"/>
      <c r="B74" s="12">
        <v>7150</v>
      </c>
      <c r="C74" s="320">
        <v>42997</v>
      </c>
      <c r="D74" s="318" t="s">
        <v>578</v>
      </c>
      <c r="E74" s="316" t="s">
        <v>644</v>
      </c>
      <c r="F74" s="27"/>
      <c r="G74" s="4">
        <v>1280</v>
      </c>
      <c r="H74" s="4"/>
      <c r="I74" s="4">
        <f t="shared" si="2"/>
        <v>-36701.817500000005</v>
      </c>
    </row>
    <row r="75" spans="1:9" x14ac:dyDescent="0.2">
      <c r="A75" s="27"/>
      <c r="B75" s="319">
        <v>7151</v>
      </c>
      <c r="C75" s="320">
        <v>43011</v>
      </c>
      <c r="D75" s="318" t="s">
        <v>522</v>
      </c>
      <c r="E75" s="316" t="s">
        <v>604</v>
      </c>
      <c r="F75" s="27"/>
      <c r="G75" s="4">
        <v>938.15</v>
      </c>
      <c r="H75" s="4"/>
      <c r="I75" s="4">
        <f t="shared" si="2"/>
        <v>-37639.967500000006</v>
      </c>
    </row>
    <row r="76" spans="1:9" x14ac:dyDescent="0.2">
      <c r="A76" s="27"/>
      <c r="B76" s="319">
        <v>7152</v>
      </c>
      <c r="C76" s="320">
        <v>43011</v>
      </c>
      <c r="D76" s="318" t="s">
        <v>570</v>
      </c>
      <c r="E76" s="316" t="s">
        <v>97</v>
      </c>
      <c r="F76" s="27"/>
      <c r="G76" s="4">
        <v>172.88</v>
      </c>
      <c r="H76" s="4"/>
      <c r="I76" s="4">
        <f t="shared" si="2"/>
        <v>-37812.847500000003</v>
      </c>
    </row>
    <row r="77" spans="1:9" x14ac:dyDescent="0.2">
      <c r="A77" s="27"/>
      <c r="B77" s="319">
        <v>7153</v>
      </c>
      <c r="C77" s="320">
        <v>43011</v>
      </c>
      <c r="D77" s="318" t="s">
        <v>579</v>
      </c>
      <c r="E77" s="316" t="s">
        <v>645</v>
      </c>
      <c r="F77" s="27"/>
      <c r="G77" s="4">
        <v>440.14</v>
      </c>
      <c r="H77" s="4"/>
      <c r="I77" s="4">
        <f t="shared" si="2"/>
        <v>-38252.987500000003</v>
      </c>
    </row>
    <row r="78" spans="1:9" x14ac:dyDescent="0.2">
      <c r="A78" s="27"/>
      <c r="B78" s="319">
        <v>7154</v>
      </c>
      <c r="C78" s="320">
        <v>43011</v>
      </c>
      <c r="D78" s="318" t="s">
        <v>193</v>
      </c>
      <c r="E78" s="316" t="s">
        <v>646</v>
      </c>
      <c r="F78" s="27"/>
      <c r="G78" s="4">
        <v>180</v>
      </c>
      <c r="H78" s="4"/>
      <c r="I78" s="4">
        <f t="shared" si="2"/>
        <v>-38432.987500000003</v>
      </c>
    </row>
    <row r="79" spans="1:9" x14ac:dyDescent="0.2">
      <c r="A79" s="27"/>
      <c r="B79" s="319">
        <v>7155</v>
      </c>
      <c r="C79" s="320">
        <v>43011</v>
      </c>
      <c r="D79" s="318" t="s">
        <v>568</v>
      </c>
      <c r="E79" s="316" t="s">
        <v>640</v>
      </c>
      <c r="F79" s="27"/>
      <c r="G79" s="4">
        <v>250</v>
      </c>
      <c r="H79" s="321"/>
      <c r="I79" s="4">
        <f t="shared" si="2"/>
        <v>-38682.987500000003</v>
      </c>
    </row>
    <row r="80" spans="1:9" x14ac:dyDescent="0.2">
      <c r="A80" s="27"/>
      <c r="B80" s="319">
        <v>7156</v>
      </c>
      <c r="C80" s="320">
        <v>43025</v>
      </c>
      <c r="D80" s="318" t="s">
        <v>518</v>
      </c>
      <c r="E80" s="316" t="s">
        <v>647</v>
      </c>
      <c r="F80" s="27"/>
      <c r="G80" s="4">
        <v>377</v>
      </c>
      <c r="H80" s="321"/>
      <c r="I80" s="4">
        <f t="shared" si="2"/>
        <v>-39059.987500000003</v>
      </c>
    </row>
    <row r="81" spans="1:9" x14ac:dyDescent="0.2">
      <c r="A81" s="27"/>
      <c r="B81" s="319">
        <v>7157</v>
      </c>
      <c r="C81" s="320">
        <v>43025</v>
      </c>
      <c r="D81" s="318" t="s">
        <v>522</v>
      </c>
      <c r="E81" s="316" t="s">
        <v>625</v>
      </c>
      <c r="F81" s="27"/>
      <c r="G81" s="4">
        <v>119.15</v>
      </c>
      <c r="H81" s="321"/>
      <c r="I81" s="4">
        <f t="shared" si="2"/>
        <v>-39179.137500000004</v>
      </c>
    </row>
    <row r="82" spans="1:9" x14ac:dyDescent="0.2">
      <c r="A82" s="27"/>
      <c r="B82" s="319">
        <v>7158</v>
      </c>
      <c r="C82" s="320">
        <v>43025</v>
      </c>
      <c r="D82" s="318" t="s">
        <v>427</v>
      </c>
      <c r="E82" s="316" t="s">
        <v>17</v>
      </c>
      <c r="F82" s="27"/>
      <c r="G82" s="4">
        <v>370.57</v>
      </c>
      <c r="H82" s="4"/>
      <c r="I82" s="4">
        <f t="shared" si="2"/>
        <v>-39549.707500000004</v>
      </c>
    </row>
    <row r="83" spans="1:9" x14ac:dyDescent="0.2">
      <c r="A83" s="27"/>
      <c r="B83" s="319">
        <v>7159</v>
      </c>
      <c r="C83" s="320">
        <v>43025</v>
      </c>
      <c r="D83" s="318" t="s">
        <v>641</v>
      </c>
      <c r="E83" s="316" t="s">
        <v>648</v>
      </c>
      <c r="F83" s="27"/>
      <c r="G83" s="4">
        <v>76</v>
      </c>
      <c r="H83" s="4"/>
      <c r="I83" s="4">
        <f t="shared" si="2"/>
        <v>-39625.707500000004</v>
      </c>
    </row>
    <row r="84" spans="1:9" x14ac:dyDescent="0.2">
      <c r="A84" s="27"/>
      <c r="B84" s="319">
        <v>7159</v>
      </c>
      <c r="C84" s="320">
        <v>43025</v>
      </c>
      <c r="D84" s="318" t="s">
        <v>16</v>
      </c>
      <c r="E84" s="316" t="s">
        <v>108</v>
      </c>
      <c r="F84" s="27"/>
      <c r="G84" s="4">
        <v>505.18</v>
      </c>
      <c r="H84" s="4"/>
      <c r="I84" s="4">
        <f>I82+H84-G84</f>
        <v>-40054.887500000004</v>
      </c>
    </row>
    <row r="85" spans="1:9" x14ac:dyDescent="0.2">
      <c r="A85" s="27"/>
      <c r="B85" s="319">
        <v>7160</v>
      </c>
      <c r="C85" s="320">
        <v>43025</v>
      </c>
      <c r="D85" s="318" t="s">
        <v>570</v>
      </c>
      <c r="E85" s="316" t="s">
        <v>97</v>
      </c>
      <c r="F85" s="27"/>
      <c r="G85" s="4">
        <v>139.75</v>
      </c>
      <c r="H85" s="4"/>
      <c r="I85" s="4">
        <f t="shared" ref="I85:I102" si="3">I84+H85-G85</f>
        <v>-40194.637500000004</v>
      </c>
    </row>
    <row r="86" spans="1:9" x14ac:dyDescent="0.2">
      <c r="A86" s="27"/>
      <c r="B86" s="12" t="s">
        <v>618</v>
      </c>
      <c r="C86" s="320">
        <v>43025</v>
      </c>
      <c r="D86" s="318" t="s">
        <v>33</v>
      </c>
      <c r="E86" s="316" t="s">
        <v>34</v>
      </c>
      <c r="F86" s="27"/>
      <c r="G86" s="4">
        <v>0</v>
      </c>
      <c r="H86" s="4">
        <v>44</v>
      </c>
      <c r="I86" s="4">
        <f t="shared" si="3"/>
        <v>-40150.637500000004</v>
      </c>
    </row>
    <row r="87" spans="1:9" x14ac:dyDescent="0.2">
      <c r="A87" s="27"/>
      <c r="B87" s="12" t="s">
        <v>618</v>
      </c>
      <c r="C87" s="320">
        <v>43025</v>
      </c>
      <c r="D87" s="318" t="s">
        <v>26</v>
      </c>
      <c r="E87" s="316" t="s">
        <v>27</v>
      </c>
      <c r="F87" s="27"/>
      <c r="G87" s="4">
        <v>0</v>
      </c>
      <c r="H87" s="4">
        <v>54</v>
      </c>
      <c r="I87" s="4">
        <f t="shared" si="3"/>
        <v>-40096.637500000004</v>
      </c>
    </row>
    <row r="88" spans="1:9" x14ac:dyDescent="0.2">
      <c r="A88" s="27"/>
      <c r="B88" s="12" t="s">
        <v>618</v>
      </c>
      <c r="C88" s="320">
        <v>43025</v>
      </c>
      <c r="D88" s="318" t="s">
        <v>113</v>
      </c>
      <c r="E88" s="316" t="s">
        <v>114</v>
      </c>
      <c r="F88" s="27"/>
      <c r="G88" s="4">
        <v>0</v>
      </c>
      <c r="H88" s="4">
        <v>101</v>
      </c>
      <c r="I88" s="4">
        <f t="shared" si="3"/>
        <v>-39995.637500000004</v>
      </c>
    </row>
    <row r="89" spans="1:9" x14ac:dyDescent="0.2">
      <c r="A89" s="27"/>
      <c r="B89" s="12" t="s">
        <v>618</v>
      </c>
      <c r="C89" s="320">
        <v>43025</v>
      </c>
      <c r="D89" s="318" t="s">
        <v>128</v>
      </c>
      <c r="E89" s="316" t="s">
        <v>129</v>
      </c>
      <c r="F89" s="27"/>
      <c r="G89" s="4">
        <v>0</v>
      </c>
      <c r="H89" s="4">
        <v>856</v>
      </c>
      <c r="I89" s="4">
        <f t="shared" si="3"/>
        <v>-39139.637500000004</v>
      </c>
    </row>
    <row r="90" spans="1:9" x14ac:dyDescent="0.2">
      <c r="A90" s="27"/>
      <c r="B90" s="12" t="s">
        <v>618</v>
      </c>
      <c r="C90" s="320">
        <v>43025</v>
      </c>
      <c r="D90" s="318" t="s">
        <v>23</v>
      </c>
      <c r="E90" s="316" t="s">
        <v>649</v>
      </c>
      <c r="F90" s="27"/>
      <c r="G90" s="4">
        <v>0</v>
      </c>
      <c r="H90" s="4">
        <v>899.19</v>
      </c>
      <c r="I90" s="4">
        <f t="shared" si="3"/>
        <v>-38240.447500000002</v>
      </c>
    </row>
    <row r="91" spans="1:9" x14ac:dyDescent="0.2">
      <c r="A91" s="27"/>
      <c r="B91" s="12" t="s">
        <v>618</v>
      </c>
      <c r="C91" s="320">
        <v>43025</v>
      </c>
      <c r="D91" s="318" t="s">
        <v>23</v>
      </c>
      <c r="E91" s="316" t="s">
        <v>650</v>
      </c>
      <c r="F91" s="322"/>
      <c r="G91" s="323">
        <v>0</v>
      </c>
      <c r="H91" s="4">
        <v>8.99</v>
      </c>
      <c r="I91" s="4">
        <f t="shared" si="3"/>
        <v>-38231.457500000004</v>
      </c>
    </row>
    <row r="92" spans="1:9" x14ac:dyDescent="0.2">
      <c r="A92" s="27"/>
      <c r="B92" s="12" t="s">
        <v>618</v>
      </c>
      <c r="C92" s="324">
        <v>43025</v>
      </c>
      <c r="D92" s="318" t="s">
        <v>20</v>
      </c>
      <c r="E92" s="325" t="s">
        <v>21</v>
      </c>
      <c r="F92" s="27"/>
      <c r="G92" s="326">
        <v>0</v>
      </c>
      <c r="H92" s="4">
        <v>36</v>
      </c>
      <c r="I92" s="4">
        <f t="shared" si="3"/>
        <v>-38195.457500000004</v>
      </c>
    </row>
    <row r="93" spans="1:9" x14ac:dyDescent="0.2">
      <c r="A93" s="27"/>
      <c r="B93" s="12" t="s">
        <v>618</v>
      </c>
      <c r="C93" s="324">
        <v>43025</v>
      </c>
      <c r="D93" s="14" t="s">
        <v>28</v>
      </c>
      <c r="E93" s="15" t="s">
        <v>29</v>
      </c>
      <c r="F93" s="15"/>
      <c r="G93" s="326">
        <v>0</v>
      </c>
      <c r="H93" s="4">
        <v>3.65</v>
      </c>
      <c r="I93" s="4">
        <f t="shared" si="3"/>
        <v>-38191.807500000003</v>
      </c>
    </row>
    <row r="94" spans="1:9" x14ac:dyDescent="0.2">
      <c r="A94" s="27"/>
      <c r="B94" s="12" t="s">
        <v>618</v>
      </c>
      <c r="C94" s="13">
        <v>43046</v>
      </c>
      <c r="D94" s="318" t="s">
        <v>33</v>
      </c>
      <c r="E94" s="15" t="s">
        <v>37</v>
      </c>
      <c r="F94" s="27"/>
      <c r="G94" s="326">
        <v>0</v>
      </c>
      <c r="H94" s="4">
        <v>65</v>
      </c>
      <c r="I94" s="4">
        <f t="shared" si="3"/>
        <v>-38126.807500000003</v>
      </c>
    </row>
    <row r="95" spans="1:9" x14ac:dyDescent="0.2">
      <c r="A95" s="27"/>
      <c r="B95" s="12" t="s">
        <v>618</v>
      </c>
      <c r="C95" s="13">
        <v>43046</v>
      </c>
      <c r="D95" s="14" t="s">
        <v>424</v>
      </c>
      <c r="E95" s="15" t="s">
        <v>651</v>
      </c>
      <c r="F95" s="15"/>
      <c r="G95" s="4">
        <v>1297.8900000000001</v>
      </c>
      <c r="H95" s="327">
        <v>0</v>
      </c>
      <c r="I95" s="4">
        <f t="shared" si="3"/>
        <v>-39424.697500000002</v>
      </c>
    </row>
    <row r="96" spans="1:9" x14ac:dyDescent="0.2">
      <c r="A96" s="27"/>
      <c r="B96" s="12" t="s">
        <v>618</v>
      </c>
      <c r="C96" s="13">
        <v>43046</v>
      </c>
      <c r="D96" s="318" t="s">
        <v>652</v>
      </c>
      <c r="E96" s="15" t="s">
        <v>653</v>
      </c>
      <c r="F96" s="27"/>
      <c r="G96" s="326">
        <v>0</v>
      </c>
      <c r="H96" s="4">
        <v>237</v>
      </c>
      <c r="I96" s="4">
        <f t="shared" si="3"/>
        <v>-39187.697500000002</v>
      </c>
    </row>
    <row r="97" spans="1:9" x14ac:dyDescent="0.2">
      <c r="A97" s="27"/>
      <c r="B97" s="12" t="s">
        <v>618</v>
      </c>
      <c r="C97" s="13">
        <v>43046</v>
      </c>
      <c r="D97" s="14" t="s">
        <v>20</v>
      </c>
      <c r="E97" s="15" t="s">
        <v>21</v>
      </c>
      <c r="F97" s="15"/>
      <c r="G97" s="326">
        <v>0</v>
      </c>
      <c r="H97" s="4">
        <v>75</v>
      </c>
      <c r="I97" s="4">
        <f t="shared" si="3"/>
        <v>-39112.697500000002</v>
      </c>
    </row>
    <row r="98" spans="1:9" x14ac:dyDescent="0.2">
      <c r="A98" s="27"/>
      <c r="B98" s="12" t="s">
        <v>618</v>
      </c>
      <c r="C98" s="13">
        <v>43046</v>
      </c>
      <c r="D98" s="318" t="s">
        <v>36</v>
      </c>
      <c r="E98" s="15" t="s">
        <v>654</v>
      </c>
      <c r="F98" s="27"/>
      <c r="G98" s="326">
        <v>0</v>
      </c>
      <c r="H98" s="4">
        <v>60</v>
      </c>
      <c r="I98" s="4">
        <f t="shared" si="3"/>
        <v>-39052.697500000002</v>
      </c>
    </row>
    <row r="99" spans="1:9" x14ac:dyDescent="0.2">
      <c r="A99" s="27"/>
      <c r="B99" s="12" t="s">
        <v>618</v>
      </c>
      <c r="C99" s="13">
        <v>43046</v>
      </c>
      <c r="D99" s="14" t="s">
        <v>20</v>
      </c>
      <c r="E99" s="15" t="s">
        <v>21</v>
      </c>
      <c r="F99" s="15"/>
      <c r="G99" s="326">
        <v>0</v>
      </c>
      <c r="H99" s="4">
        <v>10.84</v>
      </c>
      <c r="I99" s="4">
        <f t="shared" si="3"/>
        <v>-39041.857500000006</v>
      </c>
    </row>
    <row r="100" spans="1:9" x14ac:dyDescent="0.2">
      <c r="A100" s="27"/>
      <c r="B100" s="12" t="s">
        <v>618</v>
      </c>
      <c r="C100" s="13">
        <v>43046</v>
      </c>
      <c r="D100" s="318" t="s">
        <v>36</v>
      </c>
      <c r="E100" s="15" t="s">
        <v>654</v>
      </c>
      <c r="F100" s="27"/>
      <c r="G100" s="326">
        <v>0</v>
      </c>
      <c r="H100" s="4">
        <v>30</v>
      </c>
      <c r="I100" s="4">
        <f t="shared" si="3"/>
        <v>-39011.857500000006</v>
      </c>
    </row>
    <row r="101" spans="1:9" x14ac:dyDescent="0.2">
      <c r="A101" s="27"/>
      <c r="B101" s="12">
        <v>7161</v>
      </c>
      <c r="C101" s="13">
        <v>43046</v>
      </c>
      <c r="D101" s="14" t="s">
        <v>530</v>
      </c>
      <c r="E101" s="15" t="s">
        <v>629</v>
      </c>
      <c r="F101" s="15"/>
      <c r="G101" s="4">
        <v>41.4</v>
      </c>
      <c r="H101" s="4">
        <v>0</v>
      </c>
      <c r="I101" s="4">
        <f t="shared" si="3"/>
        <v>-39053.257500000007</v>
      </c>
    </row>
    <row r="102" spans="1:9" x14ac:dyDescent="0.2">
      <c r="A102" s="27"/>
      <c r="B102" s="12">
        <v>7162</v>
      </c>
      <c r="C102" s="13">
        <v>43046</v>
      </c>
      <c r="D102" s="318" t="s">
        <v>522</v>
      </c>
      <c r="E102" s="15" t="s">
        <v>655</v>
      </c>
      <c r="F102" s="27"/>
      <c r="G102" s="4">
        <v>21.2</v>
      </c>
      <c r="H102" s="4">
        <v>0</v>
      </c>
      <c r="I102" s="4">
        <f t="shared" si="3"/>
        <v>-39074.457500000004</v>
      </c>
    </row>
    <row r="103" spans="1:9" x14ac:dyDescent="0.2">
      <c r="A103" s="27"/>
      <c r="B103" s="12">
        <v>7162</v>
      </c>
      <c r="C103" s="13">
        <v>43046</v>
      </c>
      <c r="D103" s="14" t="s">
        <v>424</v>
      </c>
      <c r="E103" s="15" t="s">
        <v>651</v>
      </c>
      <c r="F103" s="15"/>
      <c r="G103" s="4">
        <v>42.86</v>
      </c>
      <c r="H103" s="4">
        <v>0</v>
      </c>
      <c r="I103" s="4">
        <f>I102+H103-G102</f>
        <v>-39095.657500000001</v>
      </c>
    </row>
    <row r="104" spans="1:9" x14ac:dyDescent="0.2">
      <c r="A104" s="27"/>
      <c r="B104" s="12">
        <v>7163</v>
      </c>
      <c r="C104" s="13">
        <v>43046</v>
      </c>
      <c r="D104" s="14" t="s">
        <v>424</v>
      </c>
      <c r="E104" s="15" t="s">
        <v>651</v>
      </c>
      <c r="F104" s="15"/>
      <c r="G104" s="4">
        <v>217.51</v>
      </c>
      <c r="H104" s="4">
        <v>0</v>
      </c>
      <c r="I104" s="4">
        <f t="shared" ref="I104:I117" si="4">I103+H104-G104</f>
        <v>-39313.167500000003</v>
      </c>
    </row>
    <row r="105" spans="1:9" x14ac:dyDescent="0.2">
      <c r="A105" s="27"/>
      <c r="B105" s="12">
        <v>7164</v>
      </c>
      <c r="C105" s="13">
        <v>43046</v>
      </c>
      <c r="D105" s="14" t="s">
        <v>424</v>
      </c>
      <c r="E105" s="15" t="s">
        <v>651</v>
      </c>
      <c r="F105" s="15"/>
      <c r="G105" s="4">
        <v>388.28</v>
      </c>
      <c r="H105" s="4">
        <v>0</v>
      </c>
      <c r="I105" s="4">
        <f t="shared" si="4"/>
        <v>-39701.447500000002</v>
      </c>
    </row>
    <row r="106" spans="1:9" x14ac:dyDescent="0.2">
      <c r="A106" s="27"/>
      <c r="B106" s="12">
        <v>7165</v>
      </c>
      <c r="C106" s="13">
        <v>43046</v>
      </c>
      <c r="D106" s="318" t="s">
        <v>522</v>
      </c>
      <c r="E106" s="15" t="s">
        <v>604</v>
      </c>
      <c r="F106" s="27"/>
      <c r="G106" s="4">
        <v>835.98</v>
      </c>
      <c r="H106" s="4">
        <v>0</v>
      </c>
      <c r="I106" s="4">
        <f t="shared" si="4"/>
        <v>-40537.427500000005</v>
      </c>
    </row>
    <row r="107" spans="1:9" x14ac:dyDescent="0.2">
      <c r="A107" s="27"/>
      <c r="B107" s="12">
        <v>7166</v>
      </c>
      <c r="C107" s="13">
        <v>43046</v>
      </c>
      <c r="D107" s="14" t="s">
        <v>85</v>
      </c>
      <c r="E107" s="15" t="s">
        <v>656</v>
      </c>
      <c r="F107" s="15"/>
      <c r="G107" s="4">
        <v>22.5</v>
      </c>
      <c r="H107" s="4">
        <v>0</v>
      </c>
      <c r="I107" s="4">
        <f t="shared" si="4"/>
        <v>-40559.927500000005</v>
      </c>
    </row>
    <row r="108" spans="1:9" x14ac:dyDescent="0.2">
      <c r="A108" s="27"/>
      <c r="B108" s="12">
        <v>7167</v>
      </c>
      <c r="C108" s="13">
        <v>43046</v>
      </c>
      <c r="D108" s="318" t="s">
        <v>522</v>
      </c>
      <c r="E108" s="15" t="s">
        <v>604</v>
      </c>
      <c r="F108" s="27"/>
      <c r="G108" s="4">
        <v>74.19</v>
      </c>
      <c r="H108" s="4">
        <v>0</v>
      </c>
      <c r="I108" s="4">
        <f t="shared" si="4"/>
        <v>-40634.117500000008</v>
      </c>
    </row>
    <row r="109" spans="1:9" x14ac:dyDescent="0.2">
      <c r="A109" s="27"/>
      <c r="B109" s="12">
        <v>7168</v>
      </c>
      <c r="C109" s="13">
        <v>43046</v>
      </c>
      <c r="D109" s="318" t="s">
        <v>570</v>
      </c>
      <c r="E109" s="15" t="s">
        <v>97</v>
      </c>
      <c r="F109" s="15"/>
      <c r="G109" s="4">
        <v>108.31</v>
      </c>
      <c r="H109" s="4">
        <v>0</v>
      </c>
      <c r="I109" s="4">
        <f t="shared" si="4"/>
        <v>-40742.427500000005</v>
      </c>
    </row>
    <row r="110" spans="1:9" x14ac:dyDescent="0.2">
      <c r="A110" s="27"/>
      <c r="B110" s="12">
        <v>7169</v>
      </c>
      <c r="C110" s="13">
        <v>43046</v>
      </c>
      <c r="D110" s="318" t="s">
        <v>91</v>
      </c>
      <c r="E110" s="15" t="s">
        <v>607</v>
      </c>
      <c r="F110" s="27"/>
      <c r="G110" s="4">
        <v>116.4</v>
      </c>
      <c r="H110" s="4">
        <v>0</v>
      </c>
      <c r="I110" s="4">
        <f t="shared" si="4"/>
        <v>-40858.827500000007</v>
      </c>
    </row>
    <row r="111" spans="1:9" x14ac:dyDescent="0.2">
      <c r="A111" s="27"/>
      <c r="B111" s="12">
        <v>7170</v>
      </c>
      <c r="C111" s="13">
        <v>43046</v>
      </c>
      <c r="D111" s="318" t="s">
        <v>63</v>
      </c>
      <c r="E111" s="15" t="s">
        <v>657</v>
      </c>
      <c r="F111" s="27"/>
      <c r="G111" s="4">
        <v>2848.8</v>
      </c>
      <c r="H111" s="4">
        <v>0</v>
      </c>
      <c r="I111" s="4">
        <f t="shared" si="4"/>
        <v>-43707.62750000001</v>
      </c>
    </row>
    <row r="112" spans="1:9" x14ac:dyDescent="0.2">
      <c r="A112" s="27"/>
      <c r="B112" s="12">
        <v>7171</v>
      </c>
      <c r="C112" s="13">
        <v>43046</v>
      </c>
      <c r="D112" s="318" t="s">
        <v>107</v>
      </c>
      <c r="E112" s="15" t="s">
        <v>658</v>
      </c>
      <c r="F112" s="27"/>
      <c r="G112" s="4">
        <v>68</v>
      </c>
      <c r="H112" s="4">
        <v>0</v>
      </c>
      <c r="I112" s="4">
        <f t="shared" si="4"/>
        <v>-43775.62750000001</v>
      </c>
    </row>
    <row r="113" spans="1:9" x14ac:dyDescent="0.2">
      <c r="A113" s="27"/>
      <c r="B113" s="12">
        <v>7172</v>
      </c>
      <c r="C113" s="13">
        <v>43060</v>
      </c>
      <c r="D113" s="318" t="s">
        <v>530</v>
      </c>
      <c r="E113" s="15" t="s">
        <v>629</v>
      </c>
      <c r="F113" s="27"/>
      <c r="G113" s="4">
        <v>50.67</v>
      </c>
      <c r="H113" s="4">
        <v>0</v>
      </c>
      <c r="I113" s="4">
        <f t="shared" si="4"/>
        <v>-43826.297500000008</v>
      </c>
    </row>
    <row r="114" spans="1:9" x14ac:dyDescent="0.2">
      <c r="A114" s="27"/>
      <c r="B114" s="12">
        <v>7173</v>
      </c>
      <c r="C114" s="13">
        <v>43060</v>
      </c>
      <c r="D114" s="318" t="s">
        <v>193</v>
      </c>
      <c r="E114" s="15" t="s">
        <v>659</v>
      </c>
      <c r="F114" s="27"/>
      <c r="G114" s="4">
        <v>277.88</v>
      </c>
      <c r="H114" s="4">
        <v>0</v>
      </c>
      <c r="I114" s="4">
        <f t="shared" si="4"/>
        <v>-44104.177500000005</v>
      </c>
    </row>
    <row r="115" spans="1:9" x14ac:dyDescent="0.2">
      <c r="A115" s="27"/>
      <c r="B115" s="12">
        <v>7174</v>
      </c>
      <c r="C115" s="13">
        <v>43060</v>
      </c>
      <c r="D115" s="318" t="s">
        <v>85</v>
      </c>
      <c r="E115" s="15" t="s">
        <v>656</v>
      </c>
      <c r="F115" s="27"/>
      <c r="G115" s="4">
        <v>15</v>
      </c>
      <c r="H115" s="4">
        <v>0</v>
      </c>
      <c r="I115" s="4">
        <f t="shared" si="4"/>
        <v>-44119.177500000005</v>
      </c>
    </row>
    <row r="116" spans="1:9" x14ac:dyDescent="0.2">
      <c r="A116" s="27"/>
      <c r="B116" s="12">
        <v>7175</v>
      </c>
      <c r="C116" s="13">
        <v>43060</v>
      </c>
      <c r="D116" s="318" t="s">
        <v>427</v>
      </c>
      <c r="E116" s="15" t="s">
        <v>17</v>
      </c>
      <c r="F116" s="27"/>
      <c r="G116" s="4">
        <v>272.92</v>
      </c>
      <c r="H116" s="4">
        <v>0</v>
      </c>
      <c r="I116" s="4">
        <f t="shared" si="4"/>
        <v>-44392.097500000003</v>
      </c>
    </row>
    <row r="117" spans="1:9" x14ac:dyDescent="0.2">
      <c r="A117" s="27"/>
      <c r="B117" s="12">
        <v>7175</v>
      </c>
      <c r="C117" s="13">
        <v>43060</v>
      </c>
      <c r="D117" s="318" t="s">
        <v>641</v>
      </c>
      <c r="E117" s="15" t="s">
        <v>648</v>
      </c>
      <c r="F117" s="27"/>
      <c r="G117" s="4">
        <v>69</v>
      </c>
      <c r="H117" s="4"/>
      <c r="I117" s="4">
        <f t="shared" si="4"/>
        <v>-44461.097500000003</v>
      </c>
    </row>
    <row r="118" spans="1:9" x14ac:dyDescent="0.2">
      <c r="A118" s="27"/>
      <c r="B118" s="12">
        <v>7175</v>
      </c>
      <c r="C118" s="13">
        <v>43060</v>
      </c>
      <c r="D118" s="318" t="s">
        <v>16</v>
      </c>
      <c r="E118" s="15" t="s">
        <v>108</v>
      </c>
      <c r="F118" s="27"/>
      <c r="G118" s="4">
        <v>195.43</v>
      </c>
      <c r="H118" s="4">
        <v>0</v>
      </c>
      <c r="I118" s="4">
        <f>I116+H118-G118</f>
        <v>-44587.527500000004</v>
      </c>
    </row>
    <row r="119" spans="1:9" x14ac:dyDescent="0.2">
      <c r="A119" s="27"/>
      <c r="B119" s="12">
        <v>7175</v>
      </c>
      <c r="C119" s="13">
        <v>43060</v>
      </c>
      <c r="D119" s="318" t="s">
        <v>530</v>
      </c>
      <c r="E119" s="15" t="s">
        <v>660</v>
      </c>
      <c r="F119" s="27"/>
      <c r="G119" s="4">
        <v>108</v>
      </c>
      <c r="H119" s="4">
        <v>0</v>
      </c>
      <c r="I119" s="4">
        <f t="shared" ref="I119:I153" si="5">I118+H119-G119</f>
        <v>-44695.527500000004</v>
      </c>
    </row>
    <row r="120" spans="1:9" x14ac:dyDescent="0.2">
      <c r="A120" s="27"/>
      <c r="B120" s="12">
        <v>7176</v>
      </c>
      <c r="C120" s="13">
        <v>43060</v>
      </c>
      <c r="D120" s="318" t="s">
        <v>16</v>
      </c>
      <c r="E120" s="15" t="s">
        <v>108</v>
      </c>
      <c r="F120" s="27"/>
      <c r="G120" s="4">
        <v>276.87</v>
      </c>
      <c r="H120" s="4">
        <v>0</v>
      </c>
      <c r="I120" s="4">
        <f t="shared" si="5"/>
        <v>-44972.397500000006</v>
      </c>
    </row>
    <row r="121" spans="1:9" x14ac:dyDescent="0.2">
      <c r="A121" s="27"/>
      <c r="B121" s="12">
        <v>7177</v>
      </c>
      <c r="C121" s="13">
        <v>43060</v>
      </c>
      <c r="D121" s="318" t="s">
        <v>574</v>
      </c>
      <c r="E121" s="15" t="s">
        <v>661</v>
      </c>
      <c r="F121" s="27"/>
      <c r="G121" s="4">
        <v>16345</v>
      </c>
      <c r="H121" s="4">
        <v>0</v>
      </c>
      <c r="I121" s="4">
        <f t="shared" si="5"/>
        <v>-61317.397500000006</v>
      </c>
    </row>
    <row r="122" spans="1:9" x14ac:dyDescent="0.2">
      <c r="A122" s="27"/>
      <c r="B122" s="12">
        <v>7178</v>
      </c>
      <c r="C122" s="13">
        <v>43060</v>
      </c>
      <c r="D122" s="318" t="s">
        <v>570</v>
      </c>
      <c r="E122" s="15" t="s">
        <v>662</v>
      </c>
      <c r="F122" s="27"/>
      <c r="G122" s="4">
        <v>98.11</v>
      </c>
      <c r="H122" s="4">
        <v>0</v>
      </c>
      <c r="I122" s="4">
        <f t="shared" si="5"/>
        <v>-61415.507500000007</v>
      </c>
    </row>
    <row r="123" spans="1:9" x14ac:dyDescent="0.2">
      <c r="A123" s="27"/>
      <c r="B123" s="12" t="s">
        <v>618</v>
      </c>
      <c r="C123" s="13">
        <v>43060</v>
      </c>
      <c r="D123" s="318" t="s">
        <v>33</v>
      </c>
      <c r="E123" s="15" t="s">
        <v>34</v>
      </c>
      <c r="F123" s="27"/>
      <c r="G123" s="4">
        <v>0</v>
      </c>
      <c r="H123" s="4">
        <v>29</v>
      </c>
      <c r="I123" s="4">
        <f t="shared" si="5"/>
        <v>-61386.507500000007</v>
      </c>
    </row>
    <row r="124" spans="1:9" x14ac:dyDescent="0.2">
      <c r="A124" s="27"/>
      <c r="B124" s="12" t="s">
        <v>618</v>
      </c>
      <c r="C124" s="13">
        <v>43060</v>
      </c>
      <c r="D124" s="318" t="s">
        <v>26</v>
      </c>
      <c r="E124" s="15" t="s">
        <v>27</v>
      </c>
      <c r="F124" s="27"/>
      <c r="G124" s="4">
        <v>0</v>
      </c>
      <c r="H124" s="4">
        <v>37</v>
      </c>
      <c r="I124" s="4">
        <f t="shared" si="5"/>
        <v>-61349.507500000007</v>
      </c>
    </row>
    <row r="125" spans="1:9" x14ac:dyDescent="0.2">
      <c r="A125" s="27"/>
      <c r="B125" s="12" t="s">
        <v>618</v>
      </c>
      <c r="C125" s="13">
        <v>43060</v>
      </c>
      <c r="D125" s="318" t="s">
        <v>113</v>
      </c>
      <c r="E125" s="15" t="s">
        <v>114</v>
      </c>
      <c r="F125" s="27"/>
      <c r="G125" s="4">
        <v>0</v>
      </c>
      <c r="H125" s="4">
        <v>97</v>
      </c>
      <c r="I125" s="4">
        <f t="shared" si="5"/>
        <v>-61252.507500000007</v>
      </c>
    </row>
    <row r="126" spans="1:9" x14ac:dyDescent="0.2">
      <c r="A126" s="27"/>
      <c r="B126" s="12" t="s">
        <v>618</v>
      </c>
      <c r="C126" s="13">
        <v>43060</v>
      </c>
      <c r="D126" s="318" t="s">
        <v>128</v>
      </c>
      <c r="E126" s="15" t="s">
        <v>129</v>
      </c>
      <c r="F126" s="27"/>
      <c r="G126" s="4">
        <v>0</v>
      </c>
      <c r="H126" s="4">
        <v>890.45</v>
      </c>
      <c r="I126" s="4">
        <f t="shared" si="5"/>
        <v>-60362.05750000001</v>
      </c>
    </row>
    <row r="127" spans="1:9" x14ac:dyDescent="0.2">
      <c r="A127" s="27"/>
      <c r="B127" s="12" t="s">
        <v>618</v>
      </c>
      <c r="C127" s="13">
        <v>43060</v>
      </c>
      <c r="D127" s="318" t="s">
        <v>23</v>
      </c>
      <c r="E127" s="15" t="s">
        <v>639</v>
      </c>
      <c r="F127" s="27"/>
      <c r="G127" s="4">
        <v>0</v>
      </c>
      <c r="H127" s="4">
        <v>916.25</v>
      </c>
      <c r="I127" s="4">
        <f t="shared" si="5"/>
        <v>-59445.80750000001</v>
      </c>
    </row>
    <row r="128" spans="1:9" x14ac:dyDescent="0.2">
      <c r="A128" s="27"/>
      <c r="B128" s="12" t="s">
        <v>618</v>
      </c>
      <c r="C128" s="13">
        <v>43060</v>
      </c>
      <c r="D128" s="318" t="s">
        <v>155</v>
      </c>
      <c r="E128" s="15" t="s">
        <v>157</v>
      </c>
      <c r="F128" s="27"/>
      <c r="G128" s="4">
        <v>0</v>
      </c>
      <c r="H128" s="4">
        <v>378</v>
      </c>
      <c r="I128" s="4">
        <f t="shared" si="5"/>
        <v>-59067.80750000001</v>
      </c>
    </row>
    <row r="129" spans="1:9" x14ac:dyDescent="0.2">
      <c r="A129" s="27"/>
      <c r="B129" s="12" t="s">
        <v>618</v>
      </c>
      <c r="C129" s="13">
        <v>43060</v>
      </c>
      <c r="D129" s="318" t="s">
        <v>147</v>
      </c>
      <c r="E129" s="15" t="s">
        <v>663</v>
      </c>
      <c r="F129" s="27"/>
      <c r="G129" s="4">
        <v>0</v>
      </c>
      <c r="H129" s="4">
        <v>2916.8</v>
      </c>
      <c r="I129" s="4">
        <f t="shared" si="5"/>
        <v>-56151.007500000007</v>
      </c>
    </row>
    <row r="130" spans="1:9" x14ac:dyDescent="0.2">
      <c r="A130" s="27"/>
      <c r="B130" s="12" t="s">
        <v>618</v>
      </c>
      <c r="C130" s="13">
        <v>43060</v>
      </c>
      <c r="D130" s="318" t="s">
        <v>664</v>
      </c>
      <c r="E130" s="15" t="s">
        <v>73</v>
      </c>
      <c r="F130" s="27"/>
      <c r="G130" s="4">
        <v>0</v>
      </c>
      <c r="H130" s="4">
        <v>50</v>
      </c>
      <c r="I130" s="4">
        <f t="shared" si="5"/>
        <v>-56101.007500000007</v>
      </c>
    </row>
    <row r="131" spans="1:9" x14ac:dyDescent="0.2">
      <c r="A131" s="27"/>
      <c r="B131" s="12">
        <v>7179</v>
      </c>
      <c r="C131" s="13">
        <v>43072</v>
      </c>
      <c r="D131" s="318" t="s">
        <v>579</v>
      </c>
      <c r="E131" s="15" t="s">
        <v>665</v>
      </c>
      <c r="F131" s="27"/>
      <c r="G131" s="4">
        <v>295</v>
      </c>
      <c r="H131" s="4">
        <v>0</v>
      </c>
      <c r="I131" s="4">
        <f t="shared" si="5"/>
        <v>-56396.007500000007</v>
      </c>
    </row>
    <row r="132" spans="1:9" x14ac:dyDescent="0.2">
      <c r="A132" s="27"/>
      <c r="B132" s="12">
        <v>7180</v>
      </c>
      <c r="C132" s="13">
        <v>43072</v>
      </c>
      <c r="D132" s="318" t="s">
        <v>574</v>
      </c>
      <c r="E132" s="15" t="s">
        <v>661</v>
      </c>
      <c r="F132" s="27"/>
      <c r="G132" s="4">
        <v>670</v>
      </c>
      <c r="H132" s="4">
        <v>0</v>
      </c>
      <c r="I132" s="4">
        <f t="shared" si="5"/>
        <v>-57066.007500000007</v>
      </c>
    </row>
    <row r="133" spans="1:9" x14ac:dyDescent="0.2">
      <c r="A133" s="27"/>
      <c r="B133" s="12">
        <v>7181</v>
      </c>
      <c r="C133" s="13">
        <v>43072</v>
      </c>
      <c r="D133" s="318" t="s">
        <v>579</v>
      </c>
      <c r="E133" s="15" t="s">
        <v>666</v>
      </c>
      <c r="F133" s="27"/>
      <c r="G133" s="4">
        <v>37.409999999999997</v>
      </c>
      <c r="H133" s="4">
        <v>0</v>
      </c>
      <c r="I133" s="4">
        <f t="shared" si="5"/>
        <v>-57103.41750000001</v>
      </c>
    </row>
    <row r="134" spans="1:9" x14ac:dyDescent="0.2">
      <c r="A134" s="27"/>
      <c r="B134" s="12">
        <v>7182</v>
      </c>
      <c r="C134" s="13">
        <v>43072</v>
      </c>
      <c r="D134" s="318" t="s">
        <v>570</v>
      </c>
      <c r="E134" s="15" t="s">
        <v>97</v>
      </c>
      <c r="F134" s="27"/>
      <c r="G134" s="4">
        <v>70.98</v>
      </c>
      <c r="H134" s="4">
        <v>0</v>
      </c>
      <c r="I134" s="4">
        <f t="shared" si="5"/>
        <v>-57174.397500000014</v>
      </c>
    </row>
    <row r="135" spans="1:9" x14ac:dyDescent="0.2">
      <c r="A135" s="27"/>
      <c r="B135" s="12">
        <v>7183</v>
      </c>
      <c r="C135" s="13">
        <v>43072</v>
      </c>
      <c r="D135" s="318" t="s">
        <v>522</v>
      </c>
      <c r="E135" s="15" t="s">
        <v>604</v>
      </c>
      <c r="F135" s="27"/>
      <c r="G135" s="4">
        <v>6</v>
      </c>
      <c r="H135" s="4">
        <v>0</v>
      </c>
      <c r="I135" s="4">
        <f t="shared" si="5"/>
        <v>-57180.397500000014</v>
      </c>
    </row>
    <row r="136" spans="1:9" x14ac:dyDescent="0.2">
      <c r="A136" s="27"/>
      <c r="B136" s="12">
        <v>7184</v>
      </c>
      <c r="C136" s="13">
        <v>43072</v>
      </c>
      <c r="D136" s="318" t="s">
        <v>579</v>
      </c>
      <c r="E136" s="15" t="s">
        <v>666</v>
      </c>
      <c r="F136" s="27"/>
      <c r="G136" s="4">
        <v>92.31</v>
      </c>
      <c r="H136" s="4">
        <v>0</v>
      </c>
      <c r="I136" s="4">
        <f t="shared" si="5"/>
        <v>-57272.707500000011</v>
      </c>
    </row>
    <row r="137" spans="1:9" x14ac:dyDescent="0.2">
      <c r="A137" s="27"/>
      <c r="B137" s="12">
        <v>7185</v>
      </c>
      <c r="C137" s="13">
        <v>43072</v>
      </c>
      <c r="D137" s="318" t="s">
        <v>96</v>
      </c>
      <c r="E137" s="15" t="s">
        <v>604</v>
      </c>
      <c r="F137" s="27"/>
      <c r="G137" s="4">
        <v>10.5</v>
      </c>
      <c r="H137" s="4">
        <v>0</v>
      </c>
      <c r="I137" s="4">
        <f t="shared" si="5"/>
        <v>-57283.207500000011</v>
      </c>
    </row>
    <row r="138" spans="1:9" x14ac:dyDescent="0.2">
      <c r="A138" s="27"/>
      <c r="B138" s="12">
        <v>7186</v>
      </c>
      <c r="C138" s="13">
        <v>43072</v>
      </c>
      <c r="D138" s="318" t="s">
        <v>565</v>
      </c>
      <c r="E138" s="15" t="s">
        <v>667</v>
      </c>
      <c r="F138" s="27"/>
      <c r="G138" s="4">
        <v>21.77</v>
      </c>
      <c r="H138" s="4">
        <v>0</v>
      </c>
      <c r="I138" s="4">
        <f t="shared" si="5"/>
        <v>-57304.977500000008</v>
      </c>
    </row>
    <row r="139" spans="1:9" x14ac:dyDescent="0.2">
      <c r="A139" s="27"/>
      <c r="B139" s="12">
        <v>7187</v>
      </c>
      <c r="C139" s="13">
        <v>43072</v>
      </c>
      <c r="D139" s="318" t="s">
        <v>565</v>
      </c>
      <c r="E139" s="15" t="s">
        <v>667</v>
      </c>
      <c r="F139" s="27"/>
      <c r="G139" s="4">
        <v>243.12</v>
      </c>
      <c r="H139" s="4">
        <v>0</v>
      </c>
      <c r="I139" s="4">
        <f t="shared" si="5"/>
        <v>-57548.097500000011</v>
      </c>
    </row>
    <row r="140" spans="1:9" x14ac:dyDescent="0.2">
      <c r="A140" s="27"/>
      <c r="B140" s="12">
        <v>7188</v>
      </c>
      <c r="C140" s="13">
        <v>43072</v>
      </c>
      <c r="D140" s="318" t="s">
        <v>487</v>
      </c>
      <c r="E140" s="15" t="s">
        <v>668</v>
      </c>
      <c r="F140" s="27"/>
      <c r="G140" s="4">
        <v>82.57</v>
      </c>
      <c r="H140" s="4">
        <v>0</v>
      </c>
      <c r="I140" s="4">
        <f t="shared" si="5"/>
        <v>-57630.66750000001</v>
      </c>
    </row>
    <row r="141" spans="1:9" x14ac:dyDescent="0.2">
      <c r="A141" s="27"/>
      <c r="B141" s="12">
        <v>7189</v>
      </c>
      <c r="C141" s="13">
        <v>43072</v>
      </c>
      <c r="D141" s="318" t="s">
        <v>462</v>
      </c>
      <c r="E141" s="15" t="s">
        <v>669</v>
      </c>
      <c r="F141" s="27"/>
      <c r="G141" s="4">
        <v>2000</v>
      </c>
      <c r="H141" s="4">
        <v>0</v>
      </c>
      <c r="I141" s="4">
        <f t="shared" si="5"/>
        <v>-59630.66750000001</v>
      </c>
    </row>
    <row r="142" spans="1:9" x14ac:dyDescent="0.2">
      <c r="A142" s="27"/>
      <c r="B142" s="12" t="s">
        <v>618</v>
      </c>
      <c r="C142" s="13">
        <v>43072</v>
      </c>
      <c r="D142" s="318" t="s">
        <v>26</v>
      </c>
      <c r="E142" s="15" t="s">
        <v>27</v>
      </c>
      <c r="F142" s="27"/>
      <c r="G142" s="4">
        <v>0</v>
      </c>
      <c r="H142" s="4">
        <v>23</v>
      </c>
      <c r="I142" s="4">
        <f t="shared" si="5"/>
        <v>-59607.66750000001</v>
      </c>
    </row>
    <row r="143" spans="1:9" x14ac:dyDescent="0.2">
      <c r="A143" s="27"/>
      <c r="B143" s="12" t="s">
        <v>618</v>
      </c>
      <c r="C143" s="13">
        <v>43072</v>
      </c>
      <c r="D143" s="318" t="s">
        <v>113</v>
      </c>
      <c r="E143" s="15" t="s">
        <v>114</v>
      </c>
      <c r="F143" s="27"/>
      <c r="G143" s="4">
        <v>0</v>
      </c>
      <c r="H143" s="4">
        <v>36</v>
      </c>
      <c r="I143" s="4">
        <f t="shared" si="5"/>
        <v>-59571.66750000001</v>
      </c>
    </row>
    <row r="144" spans="1:9" x14ac:dyDescent="0.2">
      <c r="A144" s="27"/>
      <c r="B144" s="12" t="s">
        <v>618</v>
      </c>
      <c r="C144" s="13">
        <v>43072</v>
      </c>
      <c r="D144" s="318" t="s">
        <v>81</v>
      </c>
      <c r="E144" s="15" t="s">
        <v>82</v>
      </c>
      <c r="F144" s="27"/>
      <c r="G144" s="4">
        <v>0</v>
      </c>
      <c r="H144" s="4">
        <v>102.1125</v>
      </c>
      <c r="I144" s="4">
        <f t="shared" si="5"/>
        <v>-59469.555000000008</v>
      </c>
    </row>
    <row r="145" spans="1:9" x14ac:dyDescent="0.2">
      <c r="A145" s="27"/>
      <c r="B145" s="12" t="s">
        <v>618</v>
      </c>
      <c r="C145" s="13">
        <v>43072</v>
      </c>
      <c r="D145" s="318" t="s">
        <v>36</v>
      </c>
      <c r="E145" s="15" t="s">
        <v>670</v>
      </c>
      <c r="F145" s="27"/>
      <c r="G145" s="4">
        <v>0</v>
      </c>
      <c r="H145" s="4">
        <v>7.5</v>
      </c>
      <c r="I145" s="4">
        <f t="shared" si="5"/>
        <v>-59462.055000000008</v>
      </c>
    </row>
    <row r="146" spans="1:9" x14ac:dyDescent="0.2">
      <c r="A146" s="27"/>
      <c r="B146" s="12" t="s">
        <v>618</v>
      </c>
      <c r="C146" s="13">
        <v>43072</v>
      </c>
      <c r="D146" s="318" t="s">
        <v>20</v>
      </c>
      <c r="E146" s="15" t="s">
        <v>671</v>
      </c>
      <c r="F146" s="27"/>
      <c r="G146" s="4">
        <v>0</v>
      </c>
      <c r="H146" s="4">
        <v>78</v>
      </c>
      <c r="I146" s="4">
        <f t="shared" si="5"/>
        <v>-59384.055000000008</v>
      </c>
    </row>
    <row r="147" spans="1:9" x14ac:dyDescent="0.2">
      <c r="A147" s="27"/>
      <c r="B147" s="12" t="s">
        <v>618</v>
      </c>
      <c r="C147" s="13">
        <v>43072</v>
      </c>
      <c r="D147" s="318" t="s">
        <v>28</v>
      </c>
      <c r="E147" s="15" t="s">
        <v>31</v>
      </c>
      <c r="F147" s="27"/>
      <c r="G147" s="4">
        <v>0</v>
      </c>
      <c r="H147" s="4">
        <v>7.3</v>
      </c>
      <c r="I147" s="4">
        <f t="shared" si="5"/>
        <v>-59376.755000000005</v>
      </c>
    </row>
    <row r="148" spans="1:9" x14ac:dyDescent="0.2">
      <c r="A148" s="27"/>
      <c r="B148" s="12" t="s">
        <v>618</v>
      </c>
      <c r="C148" s="13">
        <v>43072</v>
      </c>
      <c r="D148" s="318" t="s">
        <v>20</v>
      </c>
      <c r="E148" s="15" t="s">
        <v>671</v>
      </c>
      <c r="F148" s="27"/>
      <c r="G148" s="4">
        <v>0</v>
      </c>
      <c r="H148" s="4">
        <v>251.37562500000001</v>
      </c>
      <c r="I148" s="4">
        <f t="shared" si="5"/>
        <v>-59125.379375000004</v>
      </c>
    </row>
    <row r="149" spans="1:9" x14ac:dyDescent="0.2">
      <c r="A149" s="27"/>
      <c r="B149" s="12" t="s">
        <v>618</v>
      </c>
      <c r="C149" s="13">
        <v>43072</v>
      </c>
      <c r="D149" s="318" t="s">
        <v>28</v>
      </c>
      <c r="E149" s="15" t="s">
        <v>31</v>
      </c>
      <c r="F149" s="27"/>
      <c r="G149" s="4">
        <v>0</v>
      </c>
      <c r="H149" s="4">
        <v>18.25</v>
      </c>
      <c r="I149" s="4">
        <f t="shared" si="5"/>
        <v>-59107.129375000004</v>
      </c>
    </row>
    <row r="150" spans="1:9" x14ac:dyDescent="0.2">
      <c r="A150" s="27"/>
      <c r="B150" s="12">
        <v>7190</v>
      </c>
      <c r="C150" s="13">
        <v>43088</v>
      </c>
      <c r="D150" s="318" t="s">
        <v>565</v>
      </c>
      <c r="E150" s="15" t="s">
        <v>667</v>
      </c>
      <c r="F150" s="27"/>
      <c r="G150" s="4">
        <v>16.850000000000001</v>
      </c>
      <c r="H150" s="4"/>
      <c r="I150" s="4">
        <f t="shared" si="5"/>
        <v>-59123.979375000003</v>
      </c>
    </row>
    <row r="151" spans="1:9" x14ac:dyDescent="0.2">
      <c r="A151" s="27"/>
      <c r="B151" s="12">
        <v>7191</v>
      </c>
      <c r="C151" s="13">
        <v>43088</v>
      </c>
      <c r="D151" s="318" t="s">
        <v>579</v>
      </c>
      <c r="E151" s="15" t="s">
        <v>666</v>
      </c>
      <c r="F151" s="27"/>
      <c r="G151" s="4">
        <v>71.59</v>
      </c>
      <c r="H151" s="4"/>
      <c r="I151" s="4">
        <f t="shared" si="5"/>
        <v>-59195.569374999999</v>
      </c>
    </row>
    <row r="152" spans="1:9" x14ac:dyDescent="0.2">
      <c r="A152" s="27"/>
      <c r="B152" s="12">
        <v>7192</v>
      </c>
      <c r="C152" s="13">
        <v>43088</v>
      </c>
      <c r="D152" s="318" t="s">
        <v>427</v>
      </c>
      <c r="E152" s="15" t="s">
        <v>17</v>
      </c>
      <c r="F152" s="27"/>
      <c r="G152" s="4">
        <v>410.72</v>
      </c>
      <c r="H152" s="4"/>
      <c r="I152" s="4">
        <f t="shared" si="5"/>
        <v>-59606.289375</v>
      </c>
    </row>
    <row r="153" spans="1:9" x14ac:dyDescent="0.2">
      <c r="A153" s="27"/>
      <c r="B153" s="12">
        <v>7192</v>
      </c>
      <c r="C153" s="13">
        <v>43088</v>
      </c>
      <c r="D153" s="318" t="s">
        <v>16</v>
      </c>
      <c r="E153" s="15" t="s">
        <v>648</v>
      </c>
      <c r="F153" s="27"/>
      <c r="G153" s="4">
        <v>75</v>
      </c>
      <c r="H153" s="4"/>
      <c r="I153" s="4">
        <f t="shared" si="5"/>
        <v>-59681.289375</v>
      </c>
    </row>
    <row r="154" spans="1:9" x14ac:dyDescent="0.2">
      <c r="A154" s="27"/>
      <c r="B154" s="12">
        <v>7192</v>
      </c>
      <c r="C154" s="13">
        <v>43088</v>
      </c>
      <c r="D154" s="318" t="s">
        <v>16</v>
      </c>
      <c r="E154" s="15" t="s">
        <v>108</v>
      </c>
      <c r="F154" s="27"/>
      <c r="G154" s="4">
        <v>134.85</v>
      </c>
      <c r="H154" s="4"/>
      <c r="I154" s="4">
        <f>I152+H154-G154</f>
        <v>-59741.139374999999</v>
      </c>
    </row>
    <row r="155" spans="1:9" x14ac:dyDescent="0.2">
      <c r="A155" s="27"/>
      <c r="B155" s="12">
        <v>7193</v>
      </c>
      <c r="C155" s="13">
        <v>43088</v>
      </c>
      <c r="D155" s="318" t="s">
        <v>570</v>
      </c>
      <c r="E155" s="15" t="s">
        <v>97</v>
      </c>
      <c r="F155" s="27"/>
      <c r="G155" s="4">
        <v>20</v>
      </c>
      <c r="H155" s="4"/>
      <c r="I155" s="4">
        <f t="shared" ref="I155:I173" si="6">I154+H155-G155</f>
        <v>-59761.139374999999</v>
      </c>
    </row>
    <row r="156" spans="1:9" x14ac:dyDescent="0.2">
      <c r="A156" s="328"/>
      <c r="B156" s="12">
        <v>7193</v>
      </c>
      <c r="C156" s="13">
        <v>43088</v>
      </c>
      <c r="D156" s="14" t="s">
        <v>442</v>
      </c>
      <c r="E156" s="15" t="s">
        <v>672</v>
      </c>
      <c r="F156" s="15"/>
      <c r="G156" s="4">
        <v>52.91</v>
      </c>
      <c r="H156" s="4"/>
      <c r="I156" s="4">
        <f t="shared" si="6"/>
        <v>-59814.049375000002</v>
      </c>
    </row>
    <row r="157" spans="1:9" x14ac:dyDescent="0.2">
      <c r="A157" s="328"/>
      <c r="B157" s="12">
        <v>7194</v>
      </c>
      <c r="C157" s="13">
        <v>43088</v>
      </c>
      <c r="D157" s="14" t="s">
        <v>16</v>
      </c>
      <c r="E157" s="11" t="s">
        <v>108</v>
      </c>
      <c r="F157" s="15"/>
      <c r="G157" s="4">
        <v>331.65</v>
      </c>
      <c r="H157" s="4"/>
      <c r="I157" s="4">
        <f t="shared" si="6"/>
        <v>-60145.699375000004</v>
      </c>
    </row>
    <row r="158" spans="1:9" x14ac:dyDescent="0.2">
      <c r="A158" s="328"/>
      <c r="B158" s="12">
        <v>7195</v>
      </c>
      <c r="C158" s="13">
        <v>43088</v>
      </c>
      <c r="D158" s="14" t="s">
        <v>530</v>
      </c>
      <c r="E158" s="11" t="s">
        <v>629</v>
      </c>
      <c r="F158" s="15"/>
      <c r="G158" s="4">
        <v>45.91</v>
      </c>
      <c r="H158" s="4"/>
      <c r="I158" s="4">
        <f t="shared" si="6"/>
        <v>-60191.609375000007</v>
      </c>
    </row>
    <row r="159" spans="1:9" x14ac:dyDescent="0.2">
      <c r="A159" s="328"/>
      <c r="B159" s="12">
        <v>7196</v>
      </c>
      <c r="C159" s="13">
        <v>43088</v>
      </c>
      <c r="D159" s="14" t="s">
        <v>522</v>
      </c>
      <c r="E159" s="11" t="s">
        <v>604</v>
      </c>
      <c r="F159" s="15"/>
      <c r="G159" s="4">
        <v>228.54</v>
      </c>
      <c r="H159" s="4"/>
      <c r="I159" s="4">
        <f t="shared" si="6"/>
        <v>-60420.149375000008</v>
      </c>
    </row>
    <row r="160" spans="1:9" x14ac:dyDescent="0.2">
      <c r="A160" s="328"/>
      <c r="B160" s="12">
        <v>7197</v>
      </c>
      <c r="C160" s="13">
        <v>43088</v>
      </c>
      <c r="D160" s="14" t="s">
        <v>587</v>
      </c>
      <c r="E160" s="11" t="s">
        <v>673</v>
      </c>
      <c r="F160" s="15"/>
      <c r="G160" s="4">
        <v>293.25</v>
      </c>
      <c r="H160" s="4"/>
      <c r="I160" s="4">
        <f t="shared" si="6"/>
        <v>-60713.399375000008</v>
      </c>
    </row>
    <row r="161" spans="1:9" x14ac:dyDescent="0.2">
      <c r="A161" s="328"/>
      <c r="B161" s="12">
        <v>7198</v>
      </c>
      <c r="C161" s="13">
        <v>43088</v>
      </c>
      <c r="D161" s="14" t="s">
        <v>193</v>
      </c>
      <c r="E161" s="11" t="s">
        <v>674</v>
      </c>
      <c r="F161" s="15"/>
      <c r="G161" s="4">
        <v>99</v>
      </c>
      <c r="H161" s="4"/>
      <c r="I161" s="4">
        <f t="shared" si="6"/>
        <v>-60812.399375000008</v>
      </c>
    </row>
    <row r="162" spans="1:9" x14ac:dyDescent="0.2">
      <c r="A162" s="328"/>
      <c r="B162" s="12">
        <v>7199</v>
      </c>
      <c r="C162" s="13">
        <v>43088</v>
      </c>
      <c r="D162" s="14" t="s">
        <v>442</v>
      </c>
      <c r="E162" s="15" t="s">
        <v>672</v>
      </c>
      <c r="F162" s="15"/>
      <c r="G162" s="4">
        <v>935.31</v>
      </c>
      <c r="H162" s="4"/>
      <c r="I162" s="4">
        <f t="shared" si="6"/>
        <v>-61747.709375000006</v>
      </c>
    </row>
    <row r="163" spans="1:9" x14ac:dyDescent="0.2">
      <c r="A163" s="328"/>
      <c r="B163" s="12">
        <v>7200</v>
      </c>
      <c r="C163" s="13">
        <v>43088</v>
      </c>
      <c r="D163" s="14" t="s">
        <v>568</v>
      </c>
      <c r="E163" s="11" t="s">
        <v>75</v>
      </c>
      <c r="F163" s="15"/>
      <c r="G163" s="4">
        <v>100</v>
      </c>
      <c r="H163" s="4"/>
      <c r="I163" s="4">
        <f t="shared" si="6"/>
        <v>-61847.709375000006</v>
      </c>
    </row>
    <row r="164" spans="1:9" x14ac:dyDescent="0.2">
      <c r="A164" s="328"/>
      <c r="B164" s="12" t="s">
        <v>618</v>
      </c>
      <c r="C164" s="13">
        <v>43088</v>
      </c>
      <c r="D164" s="14" t="s">
        <v>33</v>
      </c>
      <c r="E164" s="11" t="s">
        <v>34</v>
      </c>
      <c r="F164" s="15"/>
      <c r="G164" s="4">
        <v>0</v>
      </c>
      <c r="H164" s="4">
        <v>33</v>
      </c>
      <c r="I164" s="4">
        <f t="shared" si="6"/>
        <v>-61814.709375000006</v>
      </c>
    </row>
    <row r="165" spans="1:9" x14ac:dyDescent="0.2">
      <c r="A165" s="328"/>
      <c r="B165" s="12" t="s">
        <v>618</v>
      </c>
      <c r="C165" s="13">
        <v>43088</v>
      </c>
      <c r="D165" s="14" t="s">
        <v>26</v>
      </c>
      <c r="E165" s="11" t="s">
        <v>27</v>
      </c>
      <c r="F165" s="15"/>
      <c r="G165" s="4">
        <v>0</v>
      </c>
      <c r="H165" s="4">
        <v>60</v>
      </c>
      <c r="I165" s="4">
        <f t="shared" si="6"/>
        <v>-61754.709375000006</v>
      </c>
    </row>
    <row r="166" spans="1:9" x14ac:dyDescent="0.2">
      <c r="A166" s="328"/>
      <c r="B166" s="12" t="s">
        <v>618</v>
      </c>
      <c r="C166" s="13">
        <v>43088</v>
      </c>
      <c r="D166" s="14" t="s">
        <v>113</v>
      </c>
      <c r="E166" s="11" t="s">
        <v>114</v>
      </c>
      <c r="F166" s="15"/>
      <c r="G166" s="4">
        <v>0</v>
      </c>
      <c r="H166" s="4">
        <v>119</v>
      </c>
      <c r="I166" s="4">
        <f t="shared" si="6"/>
        <v>-61635.709375000006</v>
      </c>
    </row>
    <row r="167" spans="1:9" x14ac:dyDescent="0.2">
      <c r="A167" s="328"/>
      <c r="B167" s="12" t="s">
        <v>618</v>
      </c>
      <c r="C167" s="13">
        <v>43088</v>
      </c>
      <c r="D167" s="14" t="s">
        <v>23</v>
      </c>
      <c r="E167" s="11" t="s">
        <v>129</v>
      </c>
      <c r="F167" s="15"/>
      <c r="G167" s="4">
        <v>0</v>
      </c>
      <c r="H167" s="4">
        <v>700.72</v>
      </c>
      <c r="I167" s="4">
        <f t="shared" si="6"/>
        <v>-60934.989375000005</v>
      </c>
    </row>
    <row r="168" spans="1:9" x14ac:dyDescent="0.2">
      <c r="A168" s="328"/>
      <c r="B168" s="12" t="s">
        <v>618</v>
      </c>
      <c r="C168" s="13">
        <v>43088</v>
      </c>
      <c r="D168" s="14" t="s">
        <v>128</v>
      </c>
      <c r="E168" s="15" t="s">
        <v>639</v>
      </c>
      <c r="F168" s="15"/>
      <c r="G168" s="4">
        <v>0</v>
      </c>
      <c r="H168" s="4">
        <v>862.72</v>
      </c>
      <c r="I168" s="4">
        <f t="shared" si="6"/>
        <v>-60072.269375000003</v>
      </c>
    </row>
    <row r="169" spans="1:9" x14ac:dyDescent="0.2">
      <c r="A169" s="328"/>
      <c r="B169" s="12" t="s">
        <v>618</v>
      </c>
      <c r="C169" s="13">
        <v>43088</v>
      </c>
      <c r="D169" s="14" t="s">
        <v>652</v>
      </c>
      <c r="E169" s="15" t="s">
        <v>653</v>
      </c>
      <c r="F169" s="15"/>
      <c r="G169" s="4">
        <v>0</v>
      </c>
      <c r="H169" s="4">
        <v>151</v>
      </c>
      <c r="I169" s="4">
        <f t="shared" si="6"/>
        <v>-59921.269375000003</v>
      </c>
    </row>
    <row r="170" spans="1:9" x14ac:dyDescent="0.2">
      <c r="A170" s="328"/>
      <c r="B170" s="12" t="s">
        <v>618</v>
      </c>
      <c r="C170" s="13">
        <v>43088</v>
      </c>
      <c r="D170" s="14" t="s">
        <v>142</v>
      </c>
      <c r="E170" s="15" t="s">
        <v>675</v>
      </c>
      <c r="F170" s="15"/>
      <c r="G170" s="4">
        <v>0</v>
      </c>
      <c r="H170" s="4">
        <v>301.5</v>
      </c>
      <c r="I170" s="4">
        <f t="shared" si="6"/>
        <v>-59619.769375000003</v>
      </c>
    </row>
    <row r="171" spans="1:9" x14ac:dyDescent="0.2">
      <c r="A171" s="328"/>
      <c r="B171" s="12" t="s">
        <v>618</v>
      </c>
      <c r="C171" s="13">
        <v>43088</v>
      </c>
      <c r="D171" s="14" t="s">
        <v>47</v>
      </c>
      <c r="E171" s="15" t="s">
        <v>676</v>
      </c>
      <c r="F171" s="15"/>
      <c r="G171" s="4">
        <v>0</v>
      </c>
      <c r="H171" s="4">
        <v>41466</v>
      </c>
      <c r="I171" s="4">
        <f t="shared" si="6"/>
        <v>-18153.769375000003</v>
      </c>
    </row>
    <row r="172" spans="1:9" x14ac:dyDescent="0.2">
      <c r="A172" s="328"/>
      <c r="B172" s="12" t="s">
        <v>618</v>
      </c>
      <c r="C172" s="13">
        <v>43088</v>
      </c>
      <c r="D172" s="14" t="s">
        <v>20</v>
      </c>
      <c r="E172" s="15" t="s">
        <v>21</v>
      </c>
      <c r="F172" s="15"/>
      <c r="G172" s="4">
        <v>0</v>
      </c>
      <c r="H172" s="4">
        <v>915.17574999999999</v>
      </c>
      <c r="I172" s="4">
        <f t="shared" si="6"/>
        <v>-17238.593625000005</v>
      </c>
    </row>
    <row r="173" spans="1:9" x14ac:dyDescent="0.2">
      <c r="A173" s="328"/>
      <c r="B173" s="12" t="s">
        <v>618</v>
      </c>
      <c r="C173" s="13">
        <v>43088</v>
      </c>
      <c r="D173" s="14" t="s">
        <v>28</v>
      </c>
      <c r="E173" s="15" t="s">
        <v>29</v>
      </c>
      <c r="F173" s="15"/>
      <c r="G173" s="4">
        <v>0</v>
      </c>
      <c r="H173" s="4">
        <v>83.85</v>
      </c>
      <c r="I173" s="4">
        <f t="shared" si="6"/>
        <v>-17154.743625000006</v>
      </c>
    </row>
    <row r="175" spans="1:9" x14ac:dyDescent="0.2">
      <c r="A175" t="s">
        <v>9</v>
      </c>
      <c r="B175" t="s">
        <v>560</v>
      </c>
      <c r="C175" t="s">
        <v>561</v>
      </c>
    </row>
    <row r="176" spans="1:9" x14ac:dyDescent="0.2">
      <c r="A176" s="50" t="s">
        <v>562</v>
      </c>
      <c r="B176" s="54">
        <v>0</v>
      </c>
      <c r="C176" s="54">
        <v>0</v>
      </c>
    </row>
    <row r="177" spans="1:3" x14ac:dyDescent="0.2">
      <c r="A177" s="50" t="s">
        <v>424</v>
      </c>
      <c r="B177" s="54">
        <v>1946.54</v>
      </c>
      <c r="C177" s="54">
        <v>0</v>
      </c>
    </row>
    <row r="178" spans="1:3" x14ac:dyDescent="0.2">
      <c r="A178" s="50" t="s">
        <v>109</v>
      </c>
      <c r="B178" s="54">
        <v>1071.21</v>
      </c>
      <c r="C178" s="54"/>
    </row>
    <row r="179" spans="1:3" x14ac:dyDescent="0.2">
      <c r="A179" s="50" t="s">
        <v>427</v>
      </c>
      <c r="B179" s="54">
        <v>1541.44</v>
      </c>
      <c r="C179" s="54">
        <v>0</v>
      </c>
    </row>
    <row r="180" spans="1:3" x14ac:dyDescent="0.2">
      <c r="A180" s="50" t="s">
        <v>16</v>
      </c>
      <c r="B180" s="54">
        <v>2067.19</v>
      </c>
      <c r="C180" s="54">
        <v>0</v>
      </c>
    </row>
    <row r="181" spans="1:3" x14ac:dyDescent="0.2">
      <c r="A181" s="50" t="s">
        <v>107</v>
      </c>
      <c r="B181" s="54">
        <v>68</v>
      </c>
      <c r="C181" s="54">
        <v>0</v>
      </c>
    </row>
    <row r="182" spans="1:3" x14ac:dyDescent="0.2">
      <c r="A182" s="50" t="s">
        <v>63</v>
      </c>
      <c r="B182" s="54">
        <v>7392.7</v>
      </c>
      <c r="C182" s="54">
        <v>0</v>
      </c>
    </row>
    <row r="183" spans="1:3" x14ac:dyDescent="0.2">
      <c r="A183" s="50" t="s">
        <v>117</v>
      </c>
      <c r="B183" s="54">
        <v>698.22</v>
      </c>
      <c r="C183" s="54"/>
    </row>
    <row r="184" spans="1:3" x14ac:dyDescent="0.2">
      <c r="A184" s="50" t="s">
        <v>442</v>
      </c>
      <c r="B184" s="54">
        <v>988.22</v>
      </c>
      <c r="C184" s="54"/>
    </row>
    <row r="185" spans="1:3" x14ac:dyDescent="0.2">
      <c r="A185" s="50" t="s">
        <v>459</v>
      </c>
      <c r="B185" s="54">
        <v>110</v>
      </c>
      <c r="C185" s="54"/>
    </row>
    <row r="186" spans="1:3" x14ac:dyDescent="0.2">
      <c r="A186" s="50" t="s">
        <v>124</v>
      </c>
      <c r="B186" s="54">
        <v>436.45</v>
      </c>
      <c r="C186" s="54"/>
    </row>
    <row r="187" spans="1:3" x14ac:dyDescent="0.2">
      <c r="A187" s="50" t="s">
        <v>462</v>
      </c>
      <c r="B187" s="54">
        <v>2000</v>
      </c>
      <c r="C187" s="54">
        <v>0</v>
      </c>
    </row>
    <row r="188" spans="1:3" x14ac:dyDescent="0.2">
      <c r="A188" s="50" t="s">
        <v>20</v>
      </c>
      <c r="B188" s="54">
        <v>0</v>
      </c>
      <c r="C188" s="54">
        <v>2283.3913750000002</v>
      </c>
    </row>
    <row r="189" spans="1:3" x14ac:dyDescent="0.2">
      <c r="A189" s="50" t="s">
        <v>23</v>
      </c>
      <c r="B189" s="54">
        <v>0</v>
      </c>
      <c r="C189" s="54">
        <v>3445.18</v>
      </c>
    </row>
    <row r="190" spans="1:3" x14ac:dyDescent="0.2">
      <c r="A190" s="50" t="s">
        <v>128</v>
      </c>
      <c r="B190" s="54">
        <v>0</v>
      </c>
      <c r="C190" s="54">
        <v>3367.57</v>
      </c>
    </row>
    <row r="191" spans="1:3" x14ac:dyDescent="0.2">
      <c r="A191" s="50" t="s">
        <v>142</v>
      </c>
      <c r="B191" s="54">
        <v>0</v>
      </c>
      <c r="C191" s="54">
        <v>301.5</v>
      </c>
    </row>
    <row r="192" spans="1:3" x14ac:dyDescent="0.2">
      <c r="A192" s="50" t="s">
        <v>69</v>
      </c>
      <c r="B192" s="54"/>
      <c r="C192" s="54">
        <v>6777.58</v>
      </c>
    </row>
    <row r="193" spans="1:3" x14ac:dyDescent="0.2">
      <c r="A193" s="50" t="s">
        <v>147</v>
      </c>
      <c r="B193" s="54">
        <v>0</v>
      </c>
      <c r="C193" s="54">
        <v>2916.8</v>
      </c>
    </row>
    <row r="194" spans="1:3" x14ac:dyDescent="0.2">
      <c r="A194" s="50" t="s">
        <v>26</v>
      </c>
      <c r="B194" s="54">
        <v>0</v>
      </c>
      <c r="C194" s="54">
        <v>300</v>
      </c>
    </row>
    <row r="195" spans="1:3" x14ac:dyDescent="0.2">
      <c r="A195" s="50" t="s">
        <v>28</v>
      </c>
      <c r="B195" s="54">
        <v>0</v>
      </c>
      <c r="C195" s="54">
        <v>131.19999999999999</v>
      </c>
    </row>
    <row r="196" spans="1:3" x14ac:dyDescent="0.2">
      <c r="A196" s="50" t="s">
        <v>155</v>
      </c>
      <c r="B196" s="54">
        <v>0</v>
      </c>
      <c r="C196" s="54">
        <v>730</v>
      </c>
    </row>
    <row r="197" spans="1:3" x14ac:dyDescent="0.2">
      <c r="A197" s="50" t="s">
        <v>33</v>
      </c>
      <c r="B197" s="54">
        <v>0</v>
      </c>
      <c r="C197" s="54">
        <v>252</v>
      </c>
    </row>
    <row r="198" spans="1:3" x14ac:dyDescent="0.2">
      <c r="A198" s="50" t="s">
        <v>36</v>
      </c>
      <c r="B198" s="54">
        <v>0</v>
      </c>
      <c r="C198" s="54">
        <v>112.5</v>
      </c>
    </row>
    <row r="199" spans="1:3" x14ac:dyDescent="0.2">
      <c r="A199" s="50" t="s">
        <v>39</v>
      </c>
      <c r="B199" s="54">
        <v>0</v>
      </c>
      <c r="C199" s="54">
        <v>231.25</v>
      </c>
    </row>
    <row r="200" spans="1:3" x14ac:dyDescent="0.2">
      <c r="A200" s="50" t="s">
        <v>81</v>
      </c>
      <c r="B200" s="54">
        <v>0</v>
      </c>
      <c r="C200" s="54">
        <v>262.57499999999999</v>
      </c>
    </row>
    <row r="201" spans="1:3" x14ac:dyDescent="0.2">
      <c r="A201" s="50" t="s">
        <v>113</v>
      </c>
      <c r="B201" s="54">
        <v>0</v>
      </c>
      <c r="C201" s="54">
        <v>549</v>
      </c>
    </row>
    <row r="202" spans="1:3" x14ac:dyDescent="0.2">
      <c r="A202" s="50" t="s">
        <v>47</v>
      </c>
      <c r="B202" s="54">
        <v>0</v>
      </c>
      <c r="C202" s="54">
        <v>41466</v>
      </c>
    </row>
    <row r="203" spans="1:3" x14ac:dyDescent="0.2">
      <c r="A203" s="50" t="s">
        <v>186</v>
      </c>
      <c r="B203" s="54">
        <v>1967.6</v>
      </c>
      <c r="C203" s="54"/>
    </row>
    <row r="204" spans="1:3" x14ac:dyDescent="0.2">
      <c r="A204" s="50" t="s">
        <v>487</v>
      </c>
      <c r="B204" s="54">
        <v>501.49</v>
      </c>
      <c r="C204" s="54">
        <v>0</v>
      </c>
    </row>
    <row r="205" spans="1:3" x14ac:dyDescent="0.2">
      <c r="A205" s="50" t="s">
        <v>564</v>
      </c>
      <c r="B205" s="54">
        <v>12000</v>
      </c>
      <c r="C205" s="54"/>
    </row>
    <row r="206" spans="1:3" x14ac:dyDescent="0.2">
      <c r="A206" s="50" t="s">
        <v>565</v>
      </c>
      <c r="B206" s="54">
        <v>281.74</v>
      </c>
      <c r="C206" s="54">
        <v>0</v>
      </c>
    </row>
    <row r="207" spans="1:3" x14ac:dyDescent="0.2">
      <c r="A207" s="50" t="s">
        <v>568</v>
      </c>
      <c r="B207" s="54">
        <v>850</v>
      </c>
      <c r="C207" s="54"/>
    </row>
    <row r="208" spans="1:3" x14ac:dyDescent="0.2">
      <c r="A208" s="50" t="s">
        <v>522</v>
      </c>
      <c r="B208" s="54">
        <v>4081.49</v>
      </c>
      <c r="C208" s="54">
        <v>0</v>
      </c>
    </row>
    <row r="209" spans="1:3" x14ac:dyDescent="0.2">
      <c r="A209" s="50" t="s">
        <v>85</v>
      </c>
      <c r="B209" s="54">
        <v>37.5</v>
      </c>
      <c r="C209" s="54">
        <v>0</v>
      </c>
    </row>
    <row r="210" spans="1:3" x14ac:dyDescent="0.2">
      <c r="A210" s="50" t="s">
        <v>530</v>
      </c>
      <c r="B210" s="54">
        <v>375.21</v>
      </c>
      <c r="C210" s="54">
        <v>0</v>
      </c>
    </row>
    <row r="211" spans="1:3" x14ac:dyDescent="0.2">
      <c r="A211" s="50" t="s">
        <v>193</v>
      </c>
      <c r="B211" s="54">
        <v>655.88</v>
      </c>
      <c r="C211" s="54">
        <v>0</v>
      </c>
    </row>
    <row r="212" spans="1:3" x14ac:dyDescent="0.2">
      <c r="A212" s="50" t="s">
        <v>91</v>
      </c>
      <c r="B212" s="54">
        <v>1411.42</v>
      </c>
      <c r="C212" s="54">
        <v>0</v>
      </c>
    </row>
    <row r="213" spans="1:3" x14ac:dyDescent="0.2">
      <c r="A213" s="50" t="s">
        <v>51</v>
      </c>
      <c r="B213" s="54">
        <v>9994.33</v>
      </c>
      <c r="C213" s="54"/>
    </row>
    <row r="214" spans="1:3" x14ac:dyDescent="0.2">
      <c r="A214" s="50" t="s">
        <v>96</v>
      </c>
      <c r="B214" s="54">
        <v>10.5</v>
      </c>
      <c r="C214" s="54">
        <v>0</v>
      </c>
    </row>
    <row r="215" spans="1:3" x14ac:dyDescent="0.2">
      <c r="A215" s="50" t="s">
        <v>197</v>
      </c>
      <c r="B215" s="54">
        <v>480</v>
      </c>
      <c r="C215" s="54"/>
    </row>
    <row r="216" spans="1:3" x14ac:dyDescent="0.2">
      <c r="A216" s="50" t="s">
        <v>507</v>
      </c>
      <c r="B216" s="54">
        <v>2010.96</v>
      </c>
      <c r="C216" s="54"/>
    </row>
    <row r="217" spans="1:3" x14ac:dyDescent="0.2">
      <c r="A217" s="50" t="s">
        <v>518</v>
      </c>
      <c r="B217" s="54">
        <v>377</v>
      </c>
      <c r="C217" s="54"/>
    </row>
    <row r="218" spans="1:3" x14ac:dyDescent="0.2">
      <c r="A218" s="50" t="s">
        <v>570</v>
      </c>
      <c r="B218" s="54">
        <v>1122.55</v>
      </c>
      <c r="C218" s="54">
        <v>0</v>
      </c>
    </row>
    <row r="219" spans="1:3" x14ac:dyDescent="0.2">
      <c r="A219" s="50" t="s">
        <v>636</v>
      </c>
      <c r="B219" s="54">
        <v>500</v>
      </c>
      <c r="C219" s="54"/>
    </row>
    <row r="220" spans="1:3" x14ac:dyDescent="0.2">
      <c r="A220" s="50" t="s">
        <v>573</v>
      </c>
      <c r="B220" s="54">
        <v>322.99</v>
      </c>
      <c r="C220" s="54"/>
    </row>
    <row r="221" spans="1:3" x14ac:dyDescent="0.2">
      <c r="A221" s="50" t="s">
        <v>574</v>
      </c>
      <c r="B221" s="54">
        <v>22815</v>
      </c>
      <c r="C221" s="54">
        <v>0</v>
      </c>
    </row>
    <row r="222" spans="1:3" x14ac:dyDescent="0.2">
      <c r="A222" s="50" t="s">
        <v>575</v>
      </c>
      <c r="B222" s="54">
        <v>52.99</v>
      </c>
      <c r="C222" s="54"/>
    </row>
    <row r="223" spans="1:3" x14ac:dyDescent="0.2">
      <c r="A223" s="50" t="s">
        <v>578</v>
      </c>
      <c r="B223" s="54">
        <v>1280</v>
      </c>
      <c r="C223" s="54"/>
    </row>
    <row r="224" spans="1:3" x14ac:dyDescent="0.2">
      <c r="A224" s="50" t="s">
        <v>579</v>
      </c>
      <c r="B224" s="54">
        <v>936.45</v>
      </c>
      <c r="C224" s="54">
        <v>0</v>
      </c>
    </row>
    <row r="225" spans="1:4" x14ac:dyDescent="0.2">
      <c r="A225" s="50" t="s">
        <v>587</v>
      </c>
      <c r="B225" s="54">
        <v>293.25</v>
      </c>
      <c r="C225" s="54"/>
    </row>
    <row r="226" spans="1:4" x14ac:dyDescent="0.2">
      <c r="A226" s="50" t="s">
        <v>641</v>
      </c>
      <c r="B226" s="54">
        <v>232.63</v>
      </c>
      <c r="C226" s="54"/>
      <c r="D226" t="s">
        <v>590</v>
      </c>
    </row>
    <row r="227" spans="1:4" x14ac:dyDescent="0.2">
      <c r="A227" s="50" t="s">
        <v>652</v>
      </c>
      <c r="B227" s="54">
        <v>0</v>
      </c>
      <c r="C227" s="54">
        <v>388</v>
      </c>
      <c r="D227" t="s">
        <v>591</v>
      </c>
    </row>
    <row r="228" spans="1:4" x14ac:dyDescent="0.2">
      <c r="A228" s="50" t="s">
        <v>224</v>
      </c>
      <c r="B228" s="54">
        <v>80910.95</v>
      </c>
      <c r="C228" s="54">
        <v>63514.546374999998</v>
      </c>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E48"/>
  <sheetViews>
    <sheetView workbookViewId="0"/>
  </sheetViews>
  <sheetFormatPr defaultRowHeight="14.25" x14ac:dyDescent="0.2"/>
  <cols>
    <col min="1" max="1" width="10.125" customWidth="1"/>
    <col min="2" max="3" width="12.125" style="16" customWidth="1"/>
    <col min="4" max="1024" width="7.375" customWidth="1"/>
  </cols>
  <sheetData>
    <row r="3" spans="1:5" x14ac:dyDescent="0.2">
      <c r="A3" s="329"/>
      <c r="B3" s="330" t="s">
        <v>677</v>
      </c>
      <c r="C3" s="331"/>
      <c r="D3" s="331"/>
      <c r="E3" s="332"/>
    </row>
    <row r="4" spans="1:5" ht="15" x14ac:dyDescent="0.25">
      <c r="A4" s="333" t="s">
        <v>593</v>
      </c>
      <c r="B4" s="334" t="s">
        <v>678</v>
      </c>
      <c r="C4" s="335" t="s">
        <v>679</v>
      </c>
      <c r="D4" s="336" t="s">
        <v>680</v>
      </c>
      <c r="E4" s="337" t="s">
        <v>681</v>
      </c>
    </row>
    <row r="5" spans="1:5" ht="15" x14ac:dyDescent="0.25">
      <c r="A5" s="338" t="s">
        <v>109</v>
      </c>
      <c r="B5" s="339"/>
      <c r="C5" s="340">
        <v>903.28</v>
      </c>
      <c r="D5" s="341"/>
      <c r="E5" s="342">
        <v>903.28</v>
      </c>
    </row>
    <row r="6" spans="1:5" ht="15" x14ac:dyDescent="0.25">
      <c r="A6" s="343" t="s">
        <v>427</v>
      </c>
      <c r="B6" s="344"/>
      <c r="C6" s="345">
        <v>1087.8900000000001</v>
      </c>
      <c r="D6" s="341"/>
      <c r="E6" s="346">
        <v>1087.8900000000001</v>
      </c>
    </row>
    <row r="7" spans="1:5" ht="15" x14ac:dyDescent="0.25">
      <c r="A7" s="343" t="s">
        <v>16</v>
      </c>
      <c r="B7" s="344"/>
      <c r="C7" s="345">
        <v>1986.43</v>
      </c>
      <c r="D7" s="341"/>
      <c r="E7" s="346">
        <v>1986.43</v>
      </c>
    </row>
    <row r="8" spans="1:5" ht="15" x14ac:dyDescent="0.25">
      <c r="A8" s="343" t="s">
        <v>107</v>
      </c>
      <c r="B8" s="344"/>
      <c r="C8" s="345">
        <v>113.82</v>
      </c>
      <c r="D8" s="341"/>
      <c r="E8" s="346">
        <v>113.82</v>
      </c>
    </row>
    <row r="9" spans="1:5" ht="15" x14ac:dyDescent="0.25">
      <c r="A9" s="343" t="s">
        <v>63</v>
      </c>
      <c r="B9" s="344"/>
      <c r="C9" s="345">
        <v>5043</v>
      </c>
      <c r="D9" s="341"/>
      <c r="E9" s="346">
        <v>5043</v>
      </c>
    </row>
    <row r="10" spans="1:5" ht="15" x14ac:dyDescent="0.25">
      <c r="A10" s="343" t="s">
        <v>459</v>
      </c>
      <c r="B10" s="344"/>
      <c r="C10" s="345">
        <v>417.5</v>
      </c>
      <c r="D10" s="341"/>
      <c r="E10" s="346">
        <v>417.5</v>
      </c>
    </row>
    <row r="11" spans="1:5" ht="15" x14ac:dyDescent="0.25">
      <c r="A11" s="343" t="s">
        <v>20</v>
      </c>
      <c r="B11" s="344">
        <v>10633.851350000001</v>
      </c>
      <c r="C11" s="345">
        <v>0</v>
      </c>
      <c r="D11" s="341">
        <v>10633.851350000001</v>
      </c>
      <c r="E11" s="346">
        <v>0</v>
      </c>
    </row>
    <row r="12" spans="1:5" ht="15" x14ac:dyDescent="0.25">
      <c r="A12" s="343" t="s">
        <v>23</v>
      </c>
      <c r="B12" s="344">
        <v>1842.59</v>
      </c>
      <c r="C12" s="345">
        <v>0</v>
      </c>
      <c r="D12" s="341">
        <v>1842.59</v>
      </c>
      <c r="E12" s="346">
        <v>0</v>
      </c>
    </row>
    <row r="13" spans="1:5" ht="15" x14ac:dyDescent="0.25">
      <c r="A13" s="343" t="s">
        <v>128</v>
      </c>
      <c r="B13" s="344">
        <v>1617.8</v>
      </c>
      <c r="C13" s="345"/>
      <c r="D13" s="341">
        <v>1617.8</v>
      </c>
      <c r="E13" s="346"/>
    </row>
    <row r="14" spans="1:5" ht="15" x14ac:dyDescent="0.25">
      <c r="A14" s="343" t="s">
        <v>147</v>
      </c>
      <c r="B14" s="344">
        <v>2390</v>
      </c>
      <c r="C14" s="345"/>
      <c r="D14" s="341">
        <v>2390</v>
      </c>
      <c r="E14" s="346"/>
    </row>
    <row r="15" spans="1:5" ht="15" x14ac:dyDescent="0.25">
      <c r="A15" s="343" t="s">
        <v>26</v>
      </c>
      <c r="B15" s="344">
        <v>394</v>
      </c>
      <c r="C15" s="345">
        <v>0</v>
      </c>
      <c r="D15" s="341">
        <v>394</v>
      </c>
      <c r="E15" s="346">
        <v>0</v>
      </c>
    </row>
    <row r="16" spans="1:5" ht="15" x14ac:dyDescent="0.25">
      <c r="A16" s="343" t="s">
        <v>28</v>
      </c>
      <c r="B16" s="344">
        <v>1912.782125</v>
      </c>
      <c r="C16" s="345">
        <v>0</v>
      </c>
      <c r="D16" s="341">
        <v>1912.782125</v>
      </c>
      <c r="E16" s="346">
        <v>0</v>
      </c>
    </row>
    <row r="17" spans="1:5" ht="15" x14ac:dyDescent="0.25">
      <c r="A17" s="343" t="s">
        <v>155</v>
      </c>
      <c r="B17" s="344">
        <v>407</v>
      </c>
      <c r="C17" s="345"/>
      <c r="D17" s="341">
        <v>407</v>
      </c>
      <c r="E17" s="346"/>
    </row>
    <row r="18" spans="1:5" ht="15" x14ac:dyDescent="0.25">
      <c r="A18" s="343" t="s">
        <v>33</v>
      </c>
      <c r="B18" s="344">
        <v>259.89999999999998</v>
      </c>
      <c r="C18" s="345">
        <v>0</v>
      </c>
      <c r="D18" s="341">
        <v>259.89999999999998</v>
      </c>
      <c r="E18" s="346">
        <v>0</v>
      </c>
    </row>
    <row r="19" spans="1:5" ht="15" x14ac:dyDescent="0.25">
      <c r="A19" s="343" t="s">
        <v>36</v>
      </c>
      <c r="B19" s="344">
        <v>86</v>
      </c>
      <c r="C19" s="345"/>
      <c r="D19" s="341">
        <v>86</v>
      </c>
      <c r="E19" s="346"/>
    </row>
    <row r="20" spans="1:5" ht="15" x14ac:dyDescent="0.25">
      <c r="A20" s="343" t="s">
        <v>39</v>
      </c>
      <c r="B20" s="344">
        <v>1056.2171249999999</v>
      </c>
      <c r="C20" s="345">
        <v>0</v>
      </c>
      <c r="D20" s="341">
        <v>1056.2171249999999</v>
      </c>
      <c r="E20" s="346">
        <v>0</v>
      </c>
    </row>
    <row r="21" spans="1:5" ht="15" x14ac:dyDescent="0.25">
      <c r="A21" s="343" t="s">
        <v>682</v>
      </c>
      <c r="B21" s="344">
        <v>145.875</v>
      </c>
      <c r="C21" s="345"/>
      <c r="D21" s="341">
        <v>145.875</v>
      </c>
      <c r="E21" s="346"/>
    </row>
    <row r="22" spans="1:5" ht="15" x14ac:dyDescent="0.25">
      <c r="A22" s="343" t="s">
        <v>167</v>
      </c>
      <c r="B22" s="344">
        <v>200</v>
      </c>
      <c r="C22" s="345">
        <v>0</v>
      </c>
      <c r="D22" s="341">
        <v>200</v>
      </c>
      <c r="E22" s="346">
        <v>0</v>
      </c>
    </row>
    <row r="23" spans="1:5" ht="15" x14ac:dyDescent="0.25">
      <c r="A23" s="343" t="s">
        <v>113</v>
      </c>
      <c r="B23" s="344">
        <v>496.08</v>
      </c>
      <c r="C23" s="345">
        <v>0</v>
      </c>
      <c r="D23" s="341">
        <v>496.08</v>
      </c>
      <c r="E23" s="346">
        <v>0</v>
      </c>
    </row>
    <row r="24" spans="1:5" ht="15" x14ac:dyDescent="0.25">
      <c r="A24" s="343" t="s">
        <v>47</v>
      </c>
      <c r="B24" s="344">
        <v>6764</v>
      </c>
      <c r="C24" s="345">
        <v>0</v>
      </c>
      <c r="D24" s="341">
        <v>6764</v>
      </c>
      <c r="E24" s="346">
        <v>0</v>
      </c>
    </row>
    <row r="25" spans="1:5" ht="15" x14ac:dyDescent="0.25">
      <c r="A25" s="343" t="s">
        <v>184</v>
      </c>
      <c r="B25" s="344"/>
      <c r="C25" s="345">
        <v>1190</v>
      </c>
      <c r="D25" s="341"/>
      <c r="E25" s="346">
        <v>1190</v>
      </c>
    </row>
    <row r="26" spans="1:5" ht="15" x14ac:dyDescent="0.25">
      <c r="A26" s="343" t="s">
        <v>490</v>
      </c>
      <c r="B26" s="344">
        <v>0</v>
      </c>
      <c r="C26" s="345">
        <v>860</v>
      </c>
      <c r="D26" s="341">
        <v>0</v>
      </c>
      <c r="E26" s="346">
        <v>860</v>
      </c>
    </row>
    <row r="27" spans="1:5" ht="15" x14ac:dyDescent="0.25">
      <c r="A27" s="343" t="s">
        <v>565</v>
      </c>
      <c r="B27" s="344"/>
      <c r="C27" s="345">
        <v>481</v>
      </c>
      <c r="D27" s="341"/>
      <c r="E27" s="346">
        <v>481</v>
      </c>
    </row>
    <row r="28" spans="1:5" ht="15" x14ac:dyDescent="0.25">
      <c r="A28" s="343" t="s">
        <v>566</v>
      </c>
      <c r="B28" s="344"/>
      <c r="C28" s="345">
        <v>190.5</v>
      </c>
      <c r="D28" s="341"/>
      <c r="E28" s="346">
        <v>190.5</v>
      </c>
    </row>
    <row r="29" spans="1:5" ht="15" x14ac:dyDescent="0.25">
      <c r="A29" s="343" t="s">
        <v>522</v>
      </c>
      <c r="B29" s="344"/>
      <c r="C29" s="345">
        <v>175.47</v>
      </c>
      <c r="D29" s="341"/>
      <c r="E29" s="346">
        <v>175.47</v>
      </c>
    </row>
    <row r="30" spans="1:5" ht="15" x14ac:dyDescent="0.25">
      <c r="A30" s="343" t="s">
        <v>88</v>
      </c>
      <c r="B30" s="344"/>
      <c r="C30" s="345">
        <v>355.6</v>
      </c>
      <c r="D30" s="341"/>
      <c r="E30" s="346">
        <v>355.6</v>
      </c>
    </row>
    <row r="31" spans="1:5" ht="15" x14ac:dyDescent="0.25">
      <c r="A31" s="343" t="s">
        <v>530</v>
      </c>
      <c r="B31" s="344"/>
      <c r="C31" s="345">
        <v>190.76</v>
      </c>
      <c r="D31" s="341"/>
      <c r="E31" s="346">
        <v>190.76</v>
      </c>
    </row>
    <row r="32" spans="1:5" ht="15" x14ac:dyDescent="0.25">
      <c r="A32" s="343" t="s">
        <v>533</v>
      </c>
      <c r="B32" s="344"/>
      <c r="C32" s="345">
        <v>5425</v>
      </c>
      <c r="D32" s="341"/>
      <c r="E32" s="346">
        <v>5425</v>
      </c>
    </row>
    <row r="33" spans="1:5" ht="15" x14ac:dyDescent="0.25">
      <c r="A33" s="343" t="s">
        <v>193</v>
      </c>
      <c r="B33" s="344"/>
      <c r="C33" s="345">
        <v>695.4</v>
      </c>
      <c r="D33" s="341"/>
      <c r="E33" s="346">
        <v>695.4</v>
      </c>
    </row>
    <row r="34" spans="1:5" ht="15" x14ac:dyDescent="0.25">
      <c r="A34" s="343" t="s">
        <v>91</v>
      </c>
      <c r="B34" s="344">
        <v>0</v>
      </c>
      <c r="C34" s="345">
        <v>185.4</v>
      </c>
      <c r="D34" s="341">
        <v>0</v>
      </c>
      <c r="E34" s="346">
        <v>185.4</v>
      </c>
    </row>
    <row r="35" spans="1:5" ht="15" x14ac:dyDescent="0.25">
      <c r="A35" s="343" t="s">
        <v>51</v>
      </c>
      <c r="B35" s="344">
        <v>0</v>
      </c>
      <c r="C35" s="345">
        <v>208.47</v>
      </c>
      <c r="D35" s="341">
        <v>0</v>
      </c>
      <c r="E35" s="346">
        <v>208.47</v>
      </c>
    </row>
    <row r="36" spans="1:5" ht="15" x14ac:dyDescent="0.25">
      <c r="A36" s="343" t="s">
        <v>197</v>
      </c>
      <c r="B36" s="344"/>
      <c r="C36" s="345">
        <v>561</v>
      </c>
      <c r="D36" s="341"/>
      <c r="E36" s="346">
        <v>561</v>
      </c>
    </row>
    <row r="37" spans="1:5" ht="15" x14ac:dyDescent="0.25">
      <c r="A37" s="343" t="s">
        <v>570</v>
      </c>
      <c r="B37" s="344">
        <v>0</v>
      </c>
      <c r="C37" s="345">
        <v>1094.1199999999999</v>
      </c>
      <c r="D37" s="341">
        <v>0</v>
      </c>
      <c r="E37" s="346">
        <v>1094.1199999999999</v>
      </c>
    </row>
    <row r="38" spans="1:5" ht="15" x14ac:dyDescent="0.25">
      <c r="A38" s="343" t="s">
        <v>575</v>
      </c>
      <c r="B38" s="344"/>
      <c r="C38" s="345">
        <v>705</v>
      </c>
      <c r="D38" s="341"/>
      <c r="E38" s="346">
        <v>705</v>
      </c>
    </row>
    <row r="39" spans="1:5" ht="15" x14ac:dyDescent="0.25">
      <c r="A39" s="343" t="s">
        <v>579</v>
      </c>
      <c r="B39" s="344">
        <v>0</v>
      </c>
      <c r="C39" s="345">
        <v>314.77999999999997</v>
      </c>
      <c r="D39" s="341">
        <v>0</v>
      </c>
      <c r="E39" s="346">
        <v>314.77999999999997</v>
      </c>
    </row>
    <row r="40" spans="1:5" ht="15" x14ac:dyDescent="0.25">
      <c r="A40" s="343" t="s">
        <v>580</v>
      </c>
      <c r="B40" s="344">
        <v>0</v>
      </c>
      <c r="C40" s="345">
        <v>734.84</v>
      </c>
      <c r="D40" s="341">
        <v>0</v>
      </c>
      <c r="E40" s="346">
        <v>734.84</v>
      </c>
    </row>
    <row r="41" spans="1:5" ht="15" x14ac:dyDescent="0.25">
      <c r="A41" s="343" t="s">
        <v>581</v>
      </c>
      <c r="B41" s="344"/>
      <c r="C41" s="345">
        <v>500</v>
      </c>
      <c r="D41" s="341"/>
      <c r="E41" s="346">
        <v>500</v>
      </c>
    </row>
    <row r="42" spans="1:5" ht="15" x14ac:dyDescent="0.25">
      <c r="A42" s="343" t="s">
        <v>584</v>
      </c>
      <c r="B42" s="344"/>
      <c r="C42" s="345">
        <v>238.4</v>
      </c>
      <c r="D42" s="341"/>
      <c r="E42" s="346">
        <v>238.4</v>
      </c>
    </row>
    <row r="43" spans="1:5" ht="15" x14ac:dyDescent="0.25">
      <c r="A43" s="343" t="s">
        <v>586</v>
      </c>
      <c r="B43" s="344"/>
      <c r="C43" s="345">
        <v>300</v>
      </c>
      <c r="D43" s="341"/>
      <c r="E43" s="346">
        <v>300</v>
      </c>
    </row>
    <row r="44" spans="1:5" ht="15" x14ac:dyDescent="0.25">
      <c r="A44" s="343" t="s">
        <v>588</v>
      </c>
      <c r="B44" s="344"/>
      <c r="C44" s="345">
        <v>2000</v>
      </c>
      <c r="D44" s="341"/>
      <c r="E44" s="346">
        <v>2000</v>
      </c>
    </row>
    <row r="45" spans="1:5" ht="15" x14ac:dyDescent="0.25">
      <c r="A45" s="343" t="s">
        <v>683</v>
      </c>
      <c r="B45" s="344"/>
      <c r="C45" s="345"/>
      <c r="D45" s="341"/>
      <c r="E45" s="346"/>
    </row>
    <row r="46" spans="1:5" ht="15" x14ac:dyDescent="0.25">
      <c r="A46" s="343" t="s">
        <v>684</v>
      </c>
      <c r="B46" s="344"/>
      <c r="C46" s="345">
        <v>350</v>
      </c>
      <c r="D46" s="341"/>
      <c r="E46" s="346">
        <v>350</v>
      </c>
    </row>
    <row r="47" spans="1:5" ht="15" x14ac:dyDescent="0.25">
      <c r="A47" s="343" t="s">
        <v>20</v>
      </c>
      <c r="B47" s="347">
        <v>0</v>
      </c>
      <c r="C47" s="348"/>
      <c r="D47" s="341">
        <v>0</v>
      </c>
      <c r="E47" s="349"/>
    </row>
    <row r="48" spans="1:5" ht="15" x14ac:dyDescent="0.25">
      <c r="A48" s="350" t="s">
        <v>685</v>
      </c>
      <c r="B48" s="351">
        <v>28206.095600000001</v>
      </c>
      <c r="C48" s="352">
        <v>26307.66</v>
      </c>
      <c r="D48" s="353">
        <v>28206.095600000001</v>
      </c>
      <c r="E48" s="354">
        <v>26307.66</v>
      </c>
    </row>
  </sheetData>
  <pageMargins left="0.70000000000000007" right="0.70000000000000007" top="1.1437000000000002" bottom="1.1437000000000002" header="0.75000000000000011" footer="0.75000000000000011"/>
  <pageSetup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10"/>
  <sheetViews>
    <sheetView workbookViewId="0"/>
  </sheetViews>
  <sheetFormatPr defaultRowHeight="14.25" x14ac:dyDescent="0.2"/>
  <cols>
    <col min="1" max="1" width="6.375" customWidth="1"/>
    <col min="2" max="2" width="8.375" style="375" customWidth="1"/>
    <col min="3" max="3" width="14.125" style="62" customWidth="1"/>
    <col min="4" max="4" width="30.375" customWidth="1"/>
    <col min="5" max="5" width="9.25" style="16" customWidth="1"/>
    <col min="6" max="6" width="9.375" style="16" customWidth="1"/>
    <col min="7" max="7" width="9.25" customWidth="1"/>
    <col min="8" max="1024" width="7.375" customWidth="1"/>
  </cols>
  <sheetData>
    <row r="1" spans="1:6" x14ac:dyDescent="0.2">
      <c r="A1" s="14" t="s">
        <v>5</v>
      </c>
      <c r="B1" s="47" t="s">
        <v>6</v>
      </c>
      <c r="C1" s="27" t="s">
        <v>593</v>
      </c>
      <c r="D1" s="55" t="s">
        <v>594</v>
      </c>
      <c r="E1" s="16" t="s">
        <v>596</v>
      </c>
      <c r="F1" s="16" t="s">
        <v>597</v>
      </c>
    </row>
    <row r="2" spans="1:6" x14ac:dyDescent="0.2">
      <c r="A2" s="318"/>
      <c r="B2" s="13">
        <v>42552</v>
      </c>
      <c r="C2" s="27" t="s">
        <v>562</v>
      </c>
      <c r="D2" s="4" t="s">
        <v>600</v>
      </c>
      <c r="E2" s="16">
        <v>0</v>
      </c>
      <c r="F2" s="16">
        <v>0</v>
      </c>
    </row>
    <row r="3" spans="1:6" x14ac:dyDescent="0.2">
      <c r="A3" s="318">
        <v>7031</v>
      </c>
      <c r="B3" s="13">
        <v>42815</v>
      </c>
      <c r="C3" s="27" t="s">
        <v>424</v>
      </c>
      <c r="D3" s="4" t="s">
        <v>686</v>
      </c>
      <c r="E3" s="16">
        <v>83.97</v>
      </c>
    </row>
    <row r="4" spans="1:6" x14ac:dyDescent="0.2">
      <c r="A4" s="318">
        <v>7032</v>
      </c>
      <c r="B4" s="13">
        <v>42815</v>
      </c>
      <c r="C4" s="27" t="s">
        <v>424</v>
      </c>
      <c r="D4" s="4" t="s">
        <v>687</v>
      </c>
      <c r="E4" s="16">
        <v>412.45</v>
      </c>
    </row>
    <row r="5" spans="1:6" x14ac:dyDescent="0.2">
      <c r="A5" s="318">
        <v>7033</v>
      </c>
      <c r="B5" s="13">
        <v>42815</v>
      </c>
      <c r="C5" s="27" t="s">
        <v>424</v>
      </c>
      <c r="D5" s="4" t="s">
        <v>688</v>
      </c>
      <c r="E5" s="16">
        <v>473.1</v>
      </c>
    </row>
    <row r="6" spans="1:6" x14ac:dyDescent="0.2">
      <c r="A6" s="14">
        <v>7044</v>
      </c>
      <c r="B6" s="47">
        <v>42829</v>
      </c>
      <c r="C6" s="27" t="s">
        <v>445</v>
      </c>
      <c r="D6" s="4" t="s">
        <v>689</v>
      </c>
      <c r="E6" s="16">
        <v>500</v>
      </c>
    </row>
    <row r="7" spans="1:6" x14ac:dyDescent="0.2">
      <c r="A7" s="318">
        <v>6962</v>
      </c>
      <c r="B7" s="13">
        <v>42689</v>
      </c>
      <c r="C7" s="27" t="s">
        <v>103</v>
      </c>
      <c r="D7" s="4" t="s">
        <v>690</v>
      </c>
      <c r="E7" s="16">
        <v>50</v>
      </c>
    </row>
    <row r="8" spans="1:6" x14ac:dyDescent="0.2">
      <c r="A8" s="318">
        <v>6992</v>
      </c>
      <c r="B8" s="13">
        <v>42738</v>
      </c>
      <c r="C8" s="27" t="s">
        <v>103</v>
      </c>
      <c r="D8" s="4" t="s">
        <v>691</v>
      </c>
      <c r="E8" s="16">
        <v>50</v>
      </c>
    </row>
    <row r="9" spans="1:6" x14ac:dyDescent="0.2">
      <c r="A9" s="14">
        <v>7018</v>
      </c>
      <c r="B9" s="47">
        <v>42801</v>
      </c>
      <c r="C9" s="27" t="s">
        <v>109</v>
      </c>
      <c r="D9" s="4" t="s">
        <v>692</v>
      </c>
      <c r="E9" s="16">
        <v>1095.25</v>
      </c>
    </row>
    <row r="10" spans="1:6" x14ac:dyDescent="0.2">
      <c r="A10" s="318">
        <v>7019</v>
      </c>
      <c r="B10" s="13">
        <v>42801</v>
      </c>
      <c r="C10" s="27" t="s">
        <v>109</v>
      </c>
      <c r="D10" s="4" t="s">
        <v>693</v>
      </c>
      <c r="E10" s="16">
        <v>1263.117</v>
      </c>
    </row>
    <row r="11" spans="1:6" x14ac:dyDescent="0.2">
      <c r="A11" s="318">
        <v>7025</v>
      </c>
      <c r="B11" s="13">
        <v>42801</v>
      </c>
      <c r="C11" s="27" t="s">
        <v>109</v>
      </c>
      <c r="D11" s="4" t="s">
        <v>694</v>
      </c>
      <c r="E11" s="16">
        <v>235.19</v>
      </c>
    </row>
    <row r="12" spans="1:6" x14ac:dyDescent="0.2">
      <c r="A12" s="14">
        <v>7032</v>
      </c>
      <c r="B12" s="28">
        <v>42815</v>
      </c>
      <c r="C12" s="27" t="s">
        <v>109</v>
      </c>
      <c r="D12" s="4" t="s">
        <v>695</v>
      </c>
      <c r="E12" s="16">
        <v>175.81</v>
      </c>
    </row>
    <row r="13" spans="1:6" x14ac:dyDescent="0.2">
      <c r="A13" s="318">
        <v>7035</v>
      </c>
      <c r="B13" s="13">
        <v>42815</v>
      </c>
      <c r="C13" s="27" t="s">
        <v>109</v>
      </c>
      <c r="D13" s="4" t="s">
        <v>651</v>
      </c>
      <c r="E13" s="16">
        <v>392.9</v>
      </c>
    </row>
    <row r="14" spans="1:6" x14ac:dyDescent="0.2">
      <c r="A14" s="14">
        <v>6937</v>
      </c>
      <c r="B14" s="47">
        <v>42635</v>
      </c>
      <c r="C14" s="27" t="s">
        <v>427</v>
      </c>
      <c r="D14" s="4" t="s">
        <v>428</v>
      </c>
      <c r="E14" s="16">
        <v>672.33</v>
      </c>
    </row>
    <row r="15" spans="1:6" x14ac:dyDescent="0.2">
      <c r="A15" s="14">
        <v>6950</v>
      </c>
      <c r="B15" s="355">
        <v>42661</v>
      </c>
      <c r="C15" s="356" t="s">
        <v>427</v>
      </c>
      <c r="D15" s="4" t="s">
        <v>17</v>
      </c>
      <c r="E15" s="16">
        <v>408.92</v>
      </c>
    </row>
    <row r="16" spans="1:6" x14ac:dyDescent="0.2">
      <c r="A16" s="14">
        <v>6968</v>
      </c>
      <c r="B16" s="47">
        <v>42710</v>
      </c>
      <c r="C16" s="27" t="s">
        <v>427</v>
      </c>
      <c r="D16" s="4" t="s">
        <v>17</v>
      </c>
      <c r="E16" s="16">
        <v>374.02</v>
      </c>
    </row>
    <row r="17" spans="1:5" x14ac:dyDescent="0.2">
      <c r="A17" s="14">
        <v>6976</v>
      </c>
      <c r="B17" s="47">
        <v>42710</v>
      </c>
      <c r="C17" s="357" t="s">
        <v>427</v>
      </c>
      <c r="D17" s="4" t="s">
        <v>696</v>
      </c>
      <c r="E17" s="16">
        <v>300.20999999999998</v>
      </c>
    </row>
    <row r="18" spans="1:5" x14ac:dyDescent="0.2">
      <c r="A18" s="14">
        <v>6999</v>
      </c>
      <c r="B18" s="47">
        <v>42752</v>
      </c>
      <c r="C18" s="27" t="s">
        <v>427</v>
      </c>
      <c r="D18" s="4" t="s">
        <v>428</v>
      </c>
      <c r="E18" s="16">
        <v>371.13</v>
      </c>
    </row>
    <row r="19" spans="1:5" x14ac:dyDescent="0.2">
      <c r="A19" s="14">
        <v>7015</v>
      </c>
      <c r="B19" s="47">
        <v>42787</v>
      </c>
      <c r="C19" s="27" t="s">
        <v>427</v>
      </c>
      <c r="D19" s="4" t="s">
        <v>428</v>
      </c>
      <c r="E19" s="16">
        <v>428.72</v>
      </c>
    </row>
    <row r="20" spans="1:5" x14ac:dyDescent="0.2">
      <c r="A20" s="14">
        <v>7056</v>
      </c>
      <c r="B20" s="47">
        <v>42857</v>
      </c>
      <c r="C20" s="27" t="s">
        <v>427</v>
      </c>
      <c r="D20" s="4" t="s">
        <v>428</v>
      </c>
      <c r="E20" s="16">
        <v>322.74</v>
      </c>
    </row>
    <row r="21" spans="1:5" x14ac:dyDescent="0.2">
      <c r="A21" s="14">
        <v>6936</v>
      </c>
      <c r="B21" s="47">
        <v>42635</v>
      </c>
      <c r="C21" s="27" t="s">
        <v>16</v>
      </c>
      <c r="D21" s="4" t="s">
        <v>697</v>
      </c>
      <c r="E21" s="16">
        <v>535.03</v>
      </c>
    </row>
    <row r="22" spans="1:5" x14ac:dyDescent="0.2">
      <c r="A22" s="14">
        <v>6936</v>
      </c>
      <c r="B22" s="47">
        <v>42635</v>
      </c>
      <c r="C22" s="27" t="s">
        <v>16</v>
      </c>
      <c r="D22" s="4" t="s">
        <v>698</v>
      </c>
      <c r="E22" s="16">
        <v>139.09</v>
      </c>
    </row>
    <row r="23" spans="1:5" x14ac:dyDescent="0.2">
      <c r="A23" s="14">
        <v>6949</v>
      </c>
      <c r="B23" s="47">
        <v>42661</v>
      </c>
      <c r="C23" s="27" t="s">
        <v>16</v>
      </c>
      <c r="D23" s="12" t="s">
        <v>699</v>
      </c>
      <c r="E23" s="16">
        <v>569.99</v>
      </c>
    </row>
    <row r="24" spans="1:5" x14ac:dyDescent="0.2">
      <c r="A24" s="14">
        <v>6949</v>
      </c>
      <c r="B24" s="47">
        <v>42661</v>
      </c>
      <c r="C24" s="27" t="s">
        <v>16</v>
      </c>
      <c r="D24" s="12" t="s">
        <v>700</v>
      </c>
      <c r="E24" s="16">
        <v>58.34</v>
      </c>
    </row>
    <row r="25" spans="1:5" x14ac:dyDescent="0.2">
      <c r="A25" s="14">
        <v>6970</v>
      </c>
      <c r="B25" s="355">
        <v>42710</v>
      </c>
      <c r="C25" s="356" t="s">
        <v>16</v>
      </c>
      <c r="D25" s="4" t="s">
        <v>108</v>
      </c>
      <c r="E25" s="16">
        <v>494.95</v>
      </c>
    </row>
    <row r="26" spans="1:5" x14ac:dyDescent="0.2">
      <c r="A26" s="14">
        <v>6974</v>
      </c>
      <c r="B26" s="28">
        <v>42710</v>
      </c>
      <c r="C26" s="357" t="s">
        <v>16</v>
      </c>
      <c r="D26" s="4" t="s">
        <v>701</v>
      </c>
      <c r="E26" s="16">
        <v>532.27</v>
      </c>
    </row>
    <row r="27" spans="1:5" x14ac:dyDescent="0.2">
      <c r="A27" s="14">
        <v>6974</v>
      </c>
      <c r="B27" s="47">
        <v>42710</v>
      </c>
      <c r="C27" s="27" t="s">
        <v>16</v>
      </c>
      <c r="D27" s="4" t="s">
        <v>702</v>
      </c>
      <c r="E27" s="16">
        <v>53.66</v>
      </c>
    </row>
    <row r="28" spans="1:5" x14ac:dyDescent="0.2">
      <c r="A28" s="14">
        <v>6998</v>
      </c>
      <c r="B28" s="47">
        <v>42752</v>
      </c>
      <c r="C28" s="27" t="s">
        <v>16</v>
      </c>
      <c r="D28" s="12" t="s">
        <v>699</v>
      </c>
      <c r="E28" s="16">
        <v>485.96</v>
      </c>
    </row>
    <row r="29" spans="1:5" x14ac:dyDescent="0.2">
      <c r="A29" s="14">
        <v>6998</v>
      </c>
      <c r="B29" s="47">
        <v>42752</v>
      </c>
      <c r="C29" s="27" t="s">
        <v>16</v>
      </c>
      <c r="D29" s="4" t="s">
        <v>700</v>
      </c>
      <c r="E29" s="16">
        <v>51.18</v>
      </c>
    </row>
    <row r="30" spans="1:5" x14ac:dyDescent="0.2">
      <c r="A30" s="14">
        <v>6999</v>
      </c>
      <c r="B30" s="47">
        <v>42752</v>
      </c>
      <c r="C30" s="27" t="s">
        <v>16</v>
      </c>
      <c r="D30" s="4" t="s">
        <v>699</v>
      </c>
      <c r="E30" s="16">
        <v>70.92</v>
      </c>
    </row>
    <row r="31" spans="1:5" x14ac:dyDescent="0.2">
      <c r="A31" s="318">
        <v>7014</v>
      </c>
      <c r="B31" s="13">
        <v>42787</v>
      </c>
      <c r="C31" s="27" t="s">
        <v>16</v>
      </c>
      <c r="D31" s="4" t="s">
        <v>699</v>
      </c>
      <c r="E31" s="16">
        <v>515.48</v>
      </c>
    </row>
    <row r="32" spans="1:5" x14ac:dyDescent="0.2">
      <c r="A32" s="14">
        <v>7034</v>
      </c>
      <c r="B32" s="47">
        <v>42815</v>
      </c>
      <c r="C32" s="27" t="s">
        <v>16</v>
      </c>
      <c r="D32" s="4" t="s">
        <v>703</v>
      </c>
      <c r="E32" s="16">
        <v>484.63</v>
      </c>
    </row>
    <row r="33" spans="1:6" x14ac:dyDescent="0.2">
      <c r="A33" s="14">
        <v>7034</v>
      </c>
      <c r="B33" s="47">
        <v>42815</v>
      </c>
      <c r="C33" s="27" t="s">
        <v>16</v>
      </c>
      <c r="D33" s="4" t="s">
        <v>704</v>
      </c>
      <c r="E33" s="16">
        <v>61.44</v>
      </c>
    </row>
    <row r="34" spans="1:6" x14ac:dyDescent="0.2">
      <c r="A34" s="14">
        <v>7059</v>
      </c>
      <c r="B34" s="47">
        <v>42857</v>
      </c>
      <c r="C34" s="27" t="s">
        <v>16</v>
      </c>
      <c r="D34" s="4" t="s">
        <v>431</v>
      </c>
      <c r="E34" s="16">
        <v>568.45000000000005</v>
      </c>
    </row>
    <row r="35" spans="1:6" x14ac:dyDescent="0.2">
      <c r="A35" s="318">
        <v>7075</v>
      </c>
      <c r="B35" s="13">
        <v>42871</v>
      </c>
      <c r="C35" s="27" t="s">
        <v>16</v>
      </c>
      <c r="D35" s="4" t="s">
        <v>705</v>
      </c>
      <c r="E35" s="16">
        <v>31.72</v>
      </c>
      <c r="F35" s="16">
        <v>0</v>
      </c>
    </row>
    <row r="36" spans="1:6" x14ac:dyDescent="0.2">
      <c r="A36" s="318">
        <v>6957</v>
      </c>
      <c r="B36" s="47">
        <v>42309</v>
      </c>
      <c r="C36" s="27" t="s">
        <v>107</v>
      </c>
      <c r="D36" s="4" t="s">
        <v>706</v>
      </c>
      <c r="E36" s="16">
        <v>40.75</v>
      </c>
    </row>
    <row r="37" spans="1:6" x14ac:dyDescent="0.2">
      <c r="A37" s="318">
        <v>6927</v>
      </c>
      <c r="B37" s="47">
        <v>42619</v>
      </c>
      <c r="C37" s="27" t="s">
        <v>107</v>
      </c>
      <c r="D37" s="4" t="s">
        <v>707</v>
      </c>
      <c r="E37" s="16">
        <v>191.98</v>
      </c>
    </row>
    <row r="38" spans="1:6" x14ac:dyDescent="0.2">
      <c r="A38" s="14">
        <v>6954</v>
      </c>
      <c r="B38" s="355">
        <v>42675</v>
      </c>
      <c r="C38" s="356" t="s">
        <v>107</v>
      </c>
      <c r="D38" s="15" t="s">
        <v>708</v>
      </c>
      <c r="E38" s="16">
        <v>163.72999999999999</v>
      </c>
    </row>
    <row r="39" spans="1:6" x14ac:dyDescent="0.2">
      <c r="A39" s="14">
        <v>7016</v>
      </c>
      <c r="B39" s="47">
        <v>42787</v>
      </c>
      <c r="C39" s="27" t="s">
        <v>107</v>
      </c>
      <c r="D39" s="4" t="s">
        <v>706</v>
      </c>
      <c r="E39" s="16">
        <v>36.75</v>
      </c>
    </row>
    <row r="40" spans="1:6" x14ac:dyDescent="0.2">
      <c r="A40" s="14">
        <v>7061</v>
      </c>
      <c r="B40" s="47">
        <v>42857</v>
      </c>
      <c r="C40" s="27" t="s">
        <v>107</v>
      </c>
      <c r="D40" s="4" t="s">
        <v>706</v>
      </c>
      <c r="E40" s="16">
        <v>56.84</v>
      </c>
    </row>
    <row r="41" spans="1:6" x14ac:dyDescent="0.2">
      <c r="A41" s="14">
        <v>7062</v>
      </c>
      <c r="B41" s="47">
        <v>42857</v>
      </c>
      <c r="C41" s="27" t="s">
        <v>107</v>
      </c>
      <c r="D41" s="4" t="s">
        <v>709</v>
      </c>
      <c r="E41" s="16">
        <v>436.24</v>
      </c>
    </row>
    <row r="42" spans="1:6" x14ac:dyDescent="0.2">
      <c r="A42" s="318">
        <v>7063</v>
      </c>
      <c r="B42" s="13">
        <v>42857</v>
      </c>
      <c r="C42" s="27" t="s">
        <v>107</v>
      </c>
      <c r="D42" s="4" t="s">
        <v>710</v>
      </c>
      <c r="E42" s="16">
        <v>22.54</v>
      </c>
    </row>
    <row r="43" spans="1:6" x14ac:dyDescent="0.2">
      <c r="A43" s="14">
        <v>7078</v>
      </c>
      <c r="B43" s="47">
        <v>42871</v>
      </c>
      <c r="C43" s="27" t="s">
        <v>107</v>
      </c>
      <c r="D43" s="4" t="s">
        <v>711</v>
      </c>
      <c r="E43" s="16">
        <v>37.840000000000003</v>
      </c>
      <c r="F43" s="16">
        <v>0</v>
      </c>
    </row>
    <row r="44" spans="1:6" x14ac:dyDescent="0.2">
      <c r="A44" s="14">
        <v>7017</v>
      </c>
      <c r="B44" s="47">
        <v>42787</v>
      </c>
      <c r="C44" s="27" t="s">
        <v>63</v>
      </c>
      <c r="D44" s="4" t="s">
        <v>712</v>
      </c>
      <c r="E44" s="16">
        <v>3500</v>
      </c>
    </row>
    <row r="45" spans="1:6" x14ac:dyDescent="0.2">
      <c r="A45" s="14">
        <v>6907</v>
      </c>
      <c r="B45" s="47">
        <v>42570</v>
      </c>
      <c r="C45" s="27" t="s">
        <v>117</v>
      </c>
      <c r="D45" s="4" t="s">
        <v>713</v>
      </c>
      <c r="E45" s="16">
        <v>575.04999999999995</v>
      </c>
    </row>
    <row r="46" spans="1:6" x14ac:dyDescent="0.2">
      <c r="A46" s="14">
        <v>6908</v>
      </c>
      <c r="B46" s="28">
        <v>42570</v>
      </c>
      <c r="C46" s="27" t="s">
        <v>117</v>
      </c>
      <c r="D46" s="4" t="s">
        <v>714</v>
      </c>
      <c r="E46" s="16">
        <v>27.45</v>
      </c>
    </row>
    <row r="47" spans="1:6" x14ac:dyDescent="0.2">
      <c r="A47" s="14">
        <v>6989</v>
      </c>
      <c r="B47" s="47">
        <v>42738</v>
      </c>
      <c r="C47" s="27" t="s">
        <v>442</v>
      </c>
      <c r="D47" s="4" t="s">
        <v>715</v>
      </c>
      <c r="E47" s="16">
        <v>990.11</v>
      </c>
    </row>
    <row r="48" spans="1:6" x14ac:dyDescent="0.2">
      <c r="A48" s="318">
        <v>7065</v>
      </c>
      <c r="B48" s="13">
        <v>42857</v>
      </c>
      <c r="C48" s="27" t="s">
        <v>121</v>
      </c>
      <c r="D48" s="4" t="s">
        <v>716</v>
      </c>
      <c r="E48" s="16">
        <v>500</v>
      </c>
    </row>
    <row r="49" spans="1:6" x14ac:dyDescent="0.2">
      <c r="A49" s="14">
        <v>7007</v>
      </c>
      <c r="B49" s="355">
        <v>42773</v>
      </c>
      <c r="C49" s="356" t="s">
        <v>459</v>
      </c>
      <c r="D49" s="15" t="s">
        <v>717</v>
      </c>
      <c r="E49" s="16">
        <v>426.8</v>
      </c>
    </row>
    <row r="50" spans="1:6" x14ac:dyDescent="0.2">
      <c r="A50" s="318">
        <v>6919</v>
      </c>
      <c r="B50" s="13">
        <v>42598</v>
      </c>
      <c r="C50" s="27" t="s">
        <v>124</v>
      </c>
      <c r="D50" s="4" t="s">
        <v>718</v>
      </c>
      <c r="E50" s="16">
        <v>381.14</v>
      </c>
    </row>
    <row r="51" spans="1:6" x14ac:dyDescent="0.2">
      <c r="A51" s="14">
        <v>6972</v>
      </c>
      <c r="B51" s="28">
        <v>42710</v>
      </c>
      <c r="C51" s="357" t="s">
        <v>462</v>
      </c>
      <c r="D51" s="4" t="s">
        <v>719</v>
      </c>
      <c r="E51" s="16">
        <v>2000</v>
      </c>
    </row>
    <row r="52" spans="1:6" x14ac:dyDescent="0.2">
      <c r="A52" s="14">
        <v>7045</v>
      </c>
      <c r="B52" s="47">
        <v>42829</v>
      </c>
      <c r="C52" s="27" t="s">
        <v>465</v>
      </c>
      <c r="D52" s="4" t="s">
        <v>14</v>
      </c>
      <c r="E52" s="16">
        <v>300</v>
      </c>
    </row>
    <row r="53" spans="1:6" x14ac:dyDescent="0.2">
      <c r="A53" s="318">
        <v>6991</v>
      </c>
      <c r="B53" s="13">
        <v>42738</v>
      </c>
      <c r="C53" s="27" t="s">
        <v>131</v>
      </c>
      <c r="D53" s="4" t="s">
        <v>720</v>
      </c>
      <c r="E53" s="16">
        <v>500</v>
      </c>
    </row>
    <row r="54" spans="1:6" x14ac:dyDescent="0.2">
      <c r="A54" s="318">
        <v>6951</v>
      </c>
      <c r="B54" s="47">
        <v>42661</v>
      </c>
      <c r="C54" s="27" t="s">
        <v>133</v>
      </c>
      <c r="D54" s="4" t="s">
        <v>721</v>
      </c>
      <c r="E54" s="16">
        <v>250</v>
      </c>
    </row>
    <row r="55" spans="1:6" x14ac:dyDescent="0.2">
      <c r="A55" s="14"/>
      <c r="B55" s="28">
        <v>42570</v>
      </c>
      <c r="C55" s="357" t="s">
        <v>20</v>
      </c>
      <c r="D55" s="4" t="s">
        <v>21</v>
      </c>
      <c r="F55" s="16">
        <v>180</v>
      </c>
    </row>
    <row r="56" spans="1:6" x14ac:dyDescent="0.2">
      <c r="A56" s="14"/>
      <c r="B56" s="358">
        <v>42598</v>
      </c>
      <c r="C56" s="356" t="s">
        <v>20</v>
      </c>
      <c r="D56" s="4" t="s">
        <v>21</v>
      </c>
      <c r="F56" s="16">
        <v>180</v>
      </c>
    </row>
    <row r="57" spans="1:6" x14ac:dyDescent="0.2">
      <c r="A57" s="318"/>
      <c r="B57" s="47">
        <v>42598</v>
      </c>
      <c r="C57" s="27" t="s">
        <v>20</v>
      </c>
      <c r="D57" s="4" t="s">
        <v>722</v>
      </c>
      <c r="F57" s="16">
        <v>72</v>
      </c>
    </row>
    <row r="58" spans="1:6" x14ac:dyDescent="0.2">
      <c r="A58" s="318"/>
      <c r="B58" s="47">
        <v>42619</v>
      </c>
      <c r="C58" s="27" t="s">
        <v>20</v>
      </c>
      <c r="D58" s="4" t="s">
        <v>21</v>
      </c>
      <c r="F58" s="16">
        <v>40</v>
      </c>
    </row>
    <row r="59" spans="1:6" x14ac:dyDescent="0.2">
      <c r="A59" s="14"/>
      <c r="B59" s="47">
        <v>42645</v>
      </c>
      <c r="C59" s="27" t="s">
        <v>20</v>
      </c>
      <c r="D59" s="4" t="s">
        <v>21</v>
      </c>
      <c r="F59" s="16">
        <v>212.95</v>
      </c>
    </row>
    <row r="60" spans="1:6" x14ac:dyDescent="0.2">
      <c r="A60" s="14"/>
      <c r="B60" s="47">
        <v>42645</v>
      </c>
      <c r="C60" s="357" t="s">
        <v>20</v>
      </c>
      <c r="D60" s="4" t="s">
        <v>21</v>
      </c>
      <c r="F60" s="16">
        <v>156</v>
      </c>
    </row>
    <row r="61" spans="1:6" x14ac:dyDescent="0.2">
      <c r="A61" s="14"/>
      <c r="B61" s="47">
        <v>42661</v>
      </c>
      <c r="C61" s="27" t="s">
        <v>20</v>
      </c>
      <c r="D61" s="4" t="s">
        <v>21</v>
      </c>
      <c r="F61" s="16">
        <v>45</v>
      </c>
    </row>
    <row r="62" spans="1:6" x14ac:dyDescent="0.2">
      <c r="A62" s="14"/>
      <c r="B62" s="355">
        <v>42675</v>
      </c>
      <c r="C62" s="356" t="s">
        <v>20</v>
      </c>
      <c r="D62" s="15" t="s">
        <v>21</v>
      </c>
      <c r="F62" s="16">
        <v>72</v>
      </c>
    </row>
    <row r="63" spans="1:6" x14ac:dyDescent="0.2">
      <c r="A63" s="14"/>
      <c r="B63" s="355">
        <v>42689</v>
      </c>
      <c r="C63" s="356" t="s">
        <v>20</v>
      </c>
      <c r="D63" s="4" t="s">
        <v>723</v>
      </c>
      <c r="F63" s="16">
        <v>9</v>
      </c>
    </row>
    <row r="64" spans="1:6" x14ac:dyDescent="0.2">
      <c r="A64" s="14"/>
      <c r="B64" s="47">
        <v>42689</v>
      </c>
      <c r="C64" s="27" t="s">
        <v>20</v>
      </c>
      <c r="D64" s="4" t="s">
        <v>21</v>
      </c>
      <c r="F64" s="16">
        <v>74</v>
      </c>
    </row>
    <row r="65" spans="1:6" x14ac:dyDescent="0.2">
      <c r="A65" s="318"/>
      <c r="B65" s="13">
        <v>42710</v>
      </c>
      <c r="C65" s="27" t="s">
        <v>20</v>
      </c>
      <c r="D65" s="4" t="s">
        <v>723</v>
      </c>
      <c r="F65" s="16">
        <v>51</v>
      </c>
    </row>
    <row r="66" spans="1:6" x14ac:dyDescent="0.2">
      <c r="A66" s="318"/>
      <c r="B66" s="47">
        <v>42710</v>
      </c>
      <c r="C66" s="27" t="s">
        <v>20</v>
      </c>
      <c r="D66" s="4" t="s">
        <v>21</v>
      </c>
      <c r="F66" s="16">
        <v>72</v>
      </c>
    </row>
    <row r="67" spans="1:6" x14ac:dyDescent="0.2">
      <c r="A67" s="318"/>
      <c r="B67" s="13">
        <v>42724</v>
      </c>
      <c r="C67" s="27" t="s">
        <v>20</v>
      </c>
      <c r="D67" s="4" t="s">
        <v>21</v>
      </c>
      <c r="F67" s="16">
        <v>1161.98</v>
      </c>
    </row>
    <row r="68" spans="1:6" x14ac:dyDescent="0.2">
      <c r="A68" s="14"/>
      <c r="B68" s="47">
        <v>42738</v>
      </c>
      <c r="C68" s="27" t="s">
        <v>20</v>
      </c>
      <c r="D68" s="12" t="s">
        <v>21</v>
      </c>
      <c r="F68" s="16">
        <v>901</v>
      </c>
    </row>
    <row r="69" spans="1:6" x14ac:dyDescent="0.2">
      <c r="A69" s="14"/>
      <c r="B69" s="47">
        <v>42738</v>
      </c>
      <c r="C69" s="357" t="s">
        <v>20</v>
      </c>
      <c r="D69" s="4" t="s">
        <v>21</v>
      </c>
      <c r="F69" s="16">
        <v>1353.65</v>
      </c>
    </row>
    <row r="70" spans="1:6" x14ac:dyDescent="0.2">
      <c r="A70" s="14"/>
      <c r="B70" s="47">
        <v>42738</v>
      </c>
      <c r="C70" s="27" t="s">
        <v>20</v>
      </c>
      <c r="D70" s="4" t="s">
        <v>21</v>
      </c>
      <c r="F70" s="16">
        <v>36</v>
      </c>
    </row>
    <row r="71" spans="1:6" x14ac:dyDescent="0.2">
      <c r="A71" s="318"/>
      <c r="B71" s="13">
        <v>42752</v>
      </c>
      <c r="C71" s="27" t="s">
        <v>20</v>
      </c>
      <c r="D71" s="4" t="s">
        <v>671</v>
      </c>
      <c r="F71" s="16">
        <v>1144</v>
      </c>
    </row>
    <row r="72" spans="1:6" x14ac:dyDescent="0.2">
      <c r="A72" s="318"/>
      <c r="B72" s="47">
        <v>42752</v>
      </c>
      <c r="C72" s="27" t="s">
        <v>20</v>
      </c>
      <c r="D72" s="4" t="s">
        <v>671</v>
      </c>
      <c r="F72" s="16">
        <v>366</v>
      </c>
    </row>
    <row r="73" spans="1:6" x14ac:dyDescent="0.2">
      <c r="A73" s="318"/>
      <c r="B73" s="13">
        <v>42752</v>
      </c>
      <c r="C73" s="27" t="s">
        <v>20</v>
      </c>
      <c r="D73" s="4" t="s">
        <v>671</v>
      </c>
      <c r="F73" s="16">
        <v>115.52</v>
      </c>
    </row>
    <row r="74" spans="1:6" x14ac:dyDescent="0.2">
      <c r="A74" s="14"/>
      <c r="B74" s="47">
        <v>42773</v>
      </c>
      <c r="C74" s="27" t="s">
        <v>20</v>
      </c>
      <c r="D74" s="4" t="s">
        <v>671</v>
      </c>
      <c r="F74" s="16">
        <v>692</v>
      </c>
    </row>
    <row r="75" spans="1:6" x14ac:dyDescent="0.2">
      <c r="A75" s="318"/>
      <c r="B75" s="13">
        <v>42773</v>
      </c>
      <c r="C75" s="27" t="s">
        <v>20</v>
      </c>
      <c r="D75" s="4" t="s">
        <v>671</v>
      </c>
      <c r="F75" s="16">
        <v>35.982500000000002</v>
      </c>
    </row>
    <row r="76" spans="1:6" x14ac:dyDescent="0.2">
      <c r="A76" s="318"/>
      <c r="B76" s="47">
        <v>42773</v>
      </c>
      <c r="C76" s="27" t="s">
        <v>20</v>
      </c>
      <c r="D76" s="4" t="s">
        <v>671</v>
      </c>
      <c r="F76" s="16">
        <v>69</v>
      </c>
    </row>
    <row r="77" spans="1:6" x14ac:dyDescent="0.2">
      <c r="A77" s="318"/>
      <c r="B77" s="13">
        <v>42787</v>
      </c>
      <c r="C77" s="27" t="s">
        <v>20</v>
      </c>
      <c r="D77" s="4" t="s">
        <v>671</v>
      </c>
      <c r="F77" s="16">
        <v>590</v>
      </c>
    </row>
    <row r="78" spans="1:6" x14ac:dyDescent="0.2">
      <c r="A78" s="14"/>
      <c r="B78" s="47">
        <v>42787</v>
      </c>
      <c r="C78" s="27" t="s">
        <v>20</v>
      </c>
      <c r="D78" s="4" t="s">
        <v>671</v>
      </c>
      <c r="F78" s="16">
        <v>198.389625</v>
      </c>
    </row>
    <row r="79" spans="1:6" x14ac:dyDescent="0.2">
      <c r="A79" s="14"/>
      <c r="B79" s="47">
        <v>42801</v>
      </c>
      <c r="C79" s="27" t="s">
        <v>20</v>
      </c>
      <c r="D79" s="4" t="s">
        <v>724</v>
      </c>
      <c r="F79" s="16">
        <v>244</v>
      </c>
    </row>
    <row r="80" spans="1:6" x14ac:dyDescent="0.2">
      <c r="A80" s="14"/>
      <c r="B80" s="47">
        <v>42801</v>
      </c>
      <c r="C80" s="27" t="s">
        <v>20</v>
      </c>
      <c r="D80" s="4" t="s">
        <v>725</v>
      </c>
      <c r="F80" s="16">
        <v>356.07</v>
      </c>
    </row>
    <row r="81" spans="1:6" x14ac:dyDescent="0.2">
      <c r="A81" s="318"/>
      <c r="B81" s="13">
        <v>42801</v>
      </c>
      <c r="C81" s="27" t="s">
        <v>20</v>
      </c>
      <c r="D81" s="4" t="s">
        <v>726</v>
      </c>
      <c r="F81" s="16">
        <v>36</v>
      </c>
    </row>
    <row r="82" spans="1:6" x14ac:dyDescent="0.2">
      <c r="A82" s="14"/>
      <c r="B82" s="47">
        <v>42815</v>
      </c>
      <c r="C82" s="27" t="s">
        <v>20</v>
      </c>
      <c r="D82" s="4" t="s">
        <v>724</v>
      </c>
      <c r="F82" s="16">
        <v>1640</v>
      </c>
    </row>
    <row r="83" spans="1:6" x14ac:dyDescent="0.2">
      <c r="A83" s="14"/>
      <c r="B83" s="47">
        <v>42815</v>
      </c>
      <c r="C83" s="27" t="s">
        <v>20</v>
      </c>
      <c r="D83" s="4" t="s">
        <v>725</v>
      </c>
      <c r="F83" s="16">
        <v>329.83</v>
      </c>
    </row>
    <row r="84" spans="1:6" x14ac:dyDescent="0.2">
      <c r="A84" s="14"/>
      <c r="B84" s="47">
        <v>42843</v>
      </c>
      <c r="C84" s="27" t="s">
        <v>20</v>
      </c>
      <c r="D84" s="4" t="s">
        <v>727</v>
      </c>
      <c r="F84" s="16">
        <v>108</v>
      </c>
    </row>
    <row r="85" spans="1:6" x14ac:dyDescent="0.2">
      <c r="A85" s="318"/>
      <c r="B85" s="13">
        <v>42843</v>
      </c>
      <c r="C85" s="27" t="s">
        <v>20</v>
      </c>
      <c r="D85" s="4" t="s">
        <v>727</v>
      </c>
      <c r="F85" s="16">
        <v>106.67</v>
      </c>
    </row>
    <row r="86" spans="1:6" x14ac:dyDescent="0.2">
      <c r="A86" s="318"/>
      <c r="B86" s="13">
        <v>42857</v>
      </c>
      <c r="C86" s="27" t="s">
        <v>20</v>
      </c>
      <c r="D86" s="4" t="s">
        <v>21</v>
      </c>
      <c r="F86" s="16">
        <v>82</v>
      </c>
    </row>
    <row r="87" spans="1:6" x14ac:dyDescent="0.2">
      <c r="A87" s="318"/>
      <c r="B87" s="47">
        <v>42871</v>
      </c>
      <c r="C87" s="27" t="s">
        <v>20</v>
      </c>
      <c r="D87" s="4" t="s">
        <v>21</v>
      </c>
      <c r="F87" s="16">
        <v>150</v>
      </c>
    </row>
    <row r="88" spans="1:6" x14ac:dyDescent="0.2">
      <c r="A88" s="318"/>
      <c r="B88" s="47">
        <v>42871</v>
      </c>
      <c r="C88" s="27" t="s">
        <v>20</v>
      </c>
      <c r="D88" s="4" t="s">
        <v>21</v>
      </c>
      <c r="F88" s="16">
        <v>35.979999999999997</v>
      </c>
    </row>
    <row r="89" spans="1:6" x14ac:dyDescent="0.2">
      <c r="A89" s="14"/>
      <c r="B89" s="47">
        <v>42871</v>
      </c>
      <c r="C89" s="27" t="s">
        <v>20</v>
      </c>
      <c r="D89" s="4" t="s">
        <v>21</v>
      </c>
      <c r="F89" s="16">
        <v>60</v>
      </c>
    </row>
    <row r="90" spans="1:6" x14ac:dyDescent="0.2">
      <c r="A90" s="359" t="s">
        <v>618</v>
      </c>
      <c r="B90" s="360">
        <v>42892</v>
      </c>
      <c r="C90" s="361" t="s">
        <v>20</v>
      </c>
      <c r="D90" s="362" t="s">
        <v>728</v>
      </c>
      <c r="E90" s="16">
        <v>0</v>
      </c>
      <c r="F90" s="16">
        <v>169.5</v>
      </c>
    </row>
    <row r="91" spans="1:6" x14ac:dyDescent="0.2">
      <c r="A91" s="44"/>
      <c r="B91" s="363">
        <v>42892</v>
      </c>
      <c r="C91" s="357" t="s">
        <v>20</v>
      </c>
      <c r="D91" s="44" t="s">
        <v>729</v>
      </c>
      <c r="E91" s="16">
        <v>0</v>
      </c>
      <c r="F91" s="16">
        <v>83.61</v>
      </c>
    </row>
    <row r="92" spans="1:6" x14ac:dyDescent="0.2">
      <c r="A92" s="14"/>
      <c r="B92" s="28">
        <v>42645</v>
      </c>
      <c r="C92" s="357" t="s">
        <v>23</v>
      </c>
      <c r="D92" s="4" t="s">
        <v>639</v>
      </c>
      <c r="F92" s="16">
        <v>451</v>
      </c>
    </row>
    <row r="93" spans="1:6" x14ac:dyDescent="0.2">
      <c r="A93" s="318"/>
      <c r="B93" s="13">
        <v>42661</v>
      </c>
      <c r="C93" s="27" t="s">
        <v>23</v>
      </c>
      <c r="D93" s="4" t="s">
        <v>620</v>
      </c>
      <c r="F93" s="16">
        <v>8.98</v>
      </c>
    </row>
    <row r="94" spans="1:6" x14ac:dyDescent="0.2">
      <c r="A94" s="14"/>
      <c r="B94" s="47">
        <v>42675</v>
      </c>
      <c r="C94" s="27" t="s">
        <v>23</v>
      </c>
      <c r="D94" s="4" t="s">
        <v>639</v>
      </c>
      <c r="F94" s="16">
        <v>900</v>
      </c>
    </row>
    <row r="95" spans="1:6" x14ac:dyDescent="0.2">
      <c r="A95" s="14"/>
      <c r="B95" s="47">
        <v>42675</v>
      </c>
      <c r="C95" s="27" t="s">
        <v>23</v>
      </c>
      <c r="D95" s="4" t="s">
        <v>704</v>
      </c>
      <c r="F95" s="16">
        <v>134</v>
      </c>
    </row>
    <row r="96" spans="1:6" x14ac:dyDescent="0.2">
      <c r="A96" s="14"/>
      <c r="B96" s="47">
        <v>42689</v>
      </c>
      <c r="C96" s="27" t="s">
        <v>23</v>
      </c>
      <c r="D96" s="12" t="s">
        <v>620</v>
      </c>
      <c r="F96" s="16">
        <v>8.98</v>
      </c>
    </row>
    <row r="97" spans="1:6" x14ac:dyDescent="0.2">
      <c r="A97" s="14"/>
      <c r="B97" s="47">
        <v>42724</v>
      </c>
      <c r="C97" s="27" t="s">
        <v>23</v>
      </c>
      <c r="D97" s="4" t="s">
        <v>730</v>
      </c>
      <c r="F97" s="16">
        <v>924</v>
      </c>
    </row>
    <row r="98" spans="1:6" x14ac:dyDescent="0.2">
      <c r="A98" s="14"/>
      <c r="B98" s="47">
        <v>42724</v>
      </c>
      <c r="C98" s="27" t="s">
        <v>23</v>
      </c>
      <c r="D98" s="4" t="s">
        <v>731</v>
      </c>
      <c r="F98" s="16">
        <v>11.98</v>
      </c>
    </row>
    <row r="99" spans="1:6" x14ac:dyDescent="0.2">
      <c r="A99" s="14"/>
      <c r="B99" s="47">
        <v>42752</v>
      </c>
      <c r="C99" s="27" t="s">
        <v>23</v>
      </c>
      <c r="D99" s="4" t="s">
        <v>639</v>
      </c>
      <c r="F99" s="16">
        <v>886</v>
      </c>
    </row>
    <row r="100" spans="1:6" x14ac:dyDescent="0.2">
      <c r="A100" s="14"/>
      <c r="B100" s="355">
        <v>42752</v>
      </c>
      <c r="C100" s="356" t="s">
        <v>23</v>
      </c>
      <c r="D100" s="4" t="s">
        <v>620</v>
      </c>
      <c r="F100" s="16">
        <v>8.98</v>
      </c>
    </row>
    <row r="101" spans="1:6" x14ac:dyDescent="0.2">
      <c r="A101" s="318"/>
      <c r="B101" s="13">
        <v>42801</v>
      </c>
      <c r="C101" s="27" t="s">
        <v>23</v>
      </c>
      <c r="D101" s="4" t="s">
        <v>732</v>
      </c>
      <c r="F101" s="16">
        <v>38.9</v>
      </c>
    </row>
    <row r="102" spans="1:6" x14ac:dyDescent="0.2">
      <c r="A102" s="14"/>
      <c r="B102" s="47">
        <v>42801</v>
      </c>
      <c r="C102" s="27" t="s">
        <v>23</v>
      </c>
      <c r="D102" s="4" t="s">
        <v>733</v>
      </c>
      <c r="F102" s="16">
        <v>924</v>
      </c>
    </row>
    <row r="103" spans="1:6" x14ac:dyDescent="0.2">
      <c r="A103" s="14"/>
      <c r="B103" s="47">
        <v>42801</v>
      </c>
      <c r="C103" s="27" t="s">
        <v>23</v>
      </c>
      <c r="D103" s="4" t="s">
        <v>733</v>
      </c>
      <c r="F103" s="16">
        <v>119</v>
      </c>
    </row>
    <row r="104" spans="1:6" x14ac:dyDescent="0.2">
      <c r="A104" s="318"/>
      <c r="B104" s="13">
        <v>42815</v>
      </c>
      <c r="C104" s="27" t="s">
        <v>23</v>
      </c>
      <c r="D104" s="4" t="s">
        <v>734</v>
      </c>
      <c r="F104" s="16">
        <v>26.95</v>
      </c>
    </row>
    <row r="105" spans="1:6" x14ac:dyDescent="0.2">
      <c r="A105" s="318"/>
      <c r="B105" s="47">
        <v>42871</v>
      </c>
      <c r="C105" s="27" t="s">
        <v>23</v>
      </c>
      <c r="D105" s="4" t="s">
        <v>735</v>
      </c>
      <c r="F105" s="16">
        <v>785.01</v>
      </c>
    </row>
    <row r="106" spans="1:6" x14ac:dyDescent="0.2">
      <c r="A106" s="14"/>
      <c r="B106" s="28">
        <v>42871</v>
      </c>
      <c r="C106" s="356" t="s">
        <v>23</v>
      </c>
      <c r="D106" s="4" t="s">
        <v>736</v>
      </c>
      <c r="F106" s="16">
        <v>140</v>
      </c>
    </row>
    <row r="107" spans="1:6" x14ac:dyDescent="0.2">
      <c r="A107" s="44"/>
      <c r="B107" s="363">
        <v>42892</v>
      </c>
      <c r="C107" s="357" t="s">
        <v>23</v>
      </c>
      <c r="D107" s="44" t="s">
        <v>737</v>
      </c>
      <c r="E107" s="16">
        <v>0</v>
      </c>
      <c r="F107" s="16">
        <v>793</v>
      </c>
    </row>
    <row r="108" spans="1:6" x14ac:dyDescent="0.2">
      <c r="A108" s="44"/>
      <c r="B108" s="363">
        <v>42892</v>
      </c>
      <c r="C108" s="357" t="s">
        <v>23</v>
      </c>
      <c r="D108" s="44" t="s">
        <v>704</v>
      </c>
      <c r="E108" s="16">
        <v>0</v>
      </c>
      <c r="F108" s="16">
        <v>127</v>
      </c>
    </row>
    <row r="109" spans="1:6" x14ac:dyDescent="0.2">
      <c r="A109" s="14"/>
      <c r="B109" s="28">
        <v>42645</v>
      </c>
      <c r="C109" s="357" t="s">
        <v>128</v>
      </c>
      <c r="D109" s="4" t="s">
        <v>129</v>
      </c>
      <c r="F109" s="16">
        <v>292.60000000000002</v>
      </c>
    </row>
    <row r="110" spans="1:6" x14ac:dyDescent="0.2">
      <c r="A110" s="14"/>
      <c r="B110" s="28">
        <v>42675</v>
      </c>
      <c r="C110" s="356" t="s">
        <v>128</v>
      </c>
      <c r="D110" s="4" t="s">
        <v>129</v>
      </c>
      <c r="F110" s="16">
        <v>856.43</v>
      </c>
    </row>
    <row r="111" spans="1:6" x14ac:dyDescent="0.2">
      <c r="A111" s="14"/>
      <c r="B111" s="355">
        <v>42724</v>
      </c>
      <c r="C111" s="356" t="s">
        <v>128</v>
      </c>
      <c r="D111" s="4" t="s">
        <v>129</v>
      </c>
      <c r="F111" s="16">
        <v>794.21</v>
      </c>
    </row>
    <row r="112" spans="1:6" x14ac:dyDescent="0.2">
      <c r="A112" s="14"/>
      <c r="B112" s="47">
        <v>42752</v>
      </c>
      <c r="C112" s="27" t="s">
        <v>128</v>
      </c>
      <c r="D112" s="4" t="s">
        <v>129</v>
      </c>
      <c r="F112" s="16">
        <v>884.25</v>
      </c>
    </row>
    <row r="113" spans="1:6" x14ac:dyDescent="0.2">
      <c r="A113" s="14"/>
      <c r="B113" s="47">
        <v>42801</v>
      </c>
      <c r="C113" s="27" t="s">
        <v>128</v>
      </c>
      <c r="D113" s="4" t="s">
        <v>738</v>
      </c>
      <c r="F113" s="16">
        <v>63.21</v>
      </c>
    </row>
    <row r="114" spans="1:6" x14ac:dyDescent="0.2">
      <c r="A114" s="364"/>
      <c r="B114" s="28">
        <v>42801</v>
      </c>
      <c r="C114" s="357" t="s">
        <v>128</v>
      </c>
      <c r="D114" s="4" t="s">
        <v>129</v>
      </c>
      <c r="F114" s="16">
        <v>1034.5</v>
      </c>
    </row>
    <row r="115" spans="1:6" x14ac:dyDescent="0.2">
      <c r="A115" s="14"/>
      <c r="B115" s="47">
        <v>42857</v>
      </c>
      <c r="C115" s="27" t="s">
        <v>128</v>
      </c>
      <c r="D115" s="4" t="s">
        <v>129</v>
      </c>
      <c r="F115" s="16">
        <v>581</v>
      </c>
    </row>
    <row r="116" spans="1:6" x14ac:dyDescent="0.2">
      <c r="A116" s="44"/>
      <c r="B116" s="363">
        <v>42892</v>
      </c>
      <c r="C116" s="357" t="s">
        <v>128</v>
      </c>
      <c r="D116" s="44" t="s">
        <v>739</v>
      </c>
      <c r="E116" s="16">
        <v>0</v>
      </c>
      <c r="F116" s="16">
        <v>972.6</v>
      </c>
    </row>
    <row r="117" spans="1:6" x14ac:dyDescent="0.2">
      <c r="A117" s="44"/>
      <c r="B117" s="363">
        <v>42892</v>
      </c>
      <c r="C117" s="357" t="s">
        <v>128</v>
      </c>
      <c r="D117" s="44" t="s">
        <v>740</v>
      </c>
      <c r="E117" s="16">
        <v>0</v>
      </c>
      <c r="F117" s="16">
        <v>152.68</v>
      </c>
    </row>
    <row r="118" spans="1:6" x14ac:dyDescent="0.2">
      <c r="A118" s="44"/>
      <c r="B118" s="363">
        <v>42892</v>
      </c>
      <c r="C118" s="357" t="s">
        <v>128</v>
      </c>
      <c r="D118" s="44" t="s">
        <v>741</v>
      </c>
      <c r="E118" s="16">
        <v>0</v>
      </c>
      <c r="F118" s="16">
        <v>152.68</v>
      </c>
    </row>
    <row r="119" spans="1:6" x14ac:dyDescent="0.2">
      <c r="A119" s="318"/>
      <c r="B119" s="13">
        <v>42801</v>
      </c>
      <c r="C119" s="27" t="s">
        <v>141</v>
      </c>
      <c r="D119" s="4" t="s">
        <v>694</v>
      </c>
      <c r="F119" s="16">
        <v>391.92</v>
      </c>
    </row>
    <row r="120" spans="1:6" x14ac:dyDescent="0.2">
      <c r="A120" s="14"/>
      <c r="B120" s="47">
        <v>42689</v>
      </c>
      <c r="C120" s="27" t="s">
        <v>563</v>
      </c>
      <c r="D120" s="4" t="s">
        <v>742</v>
      </c>
      <c r="F120" s="16">
        <v>122</v>
      </c>
    </row>
    <row r="121" spans="1:6" x14ac:dyDescent="0.2">
      <c r="A121" s="318"/>
      <c r="B121" s="13">
        <v>42710</v>
      </c>
      <c r="C121" s="27" t="s">
        <v>142</v>
      </c>
      <c r="D121" s="4" t="s">
        <v>742</v>
      </c>
      <c r="F121" s="16">
        <v>216</v>
      </c>
    </row>
    <row r="122" spans="1:6" x14ac:dyDescent="0.2">
      <c r="A122" s="14"/>
      <c r="B122" s="47">
        <v>42724</v>
      </c>
      <c r="C122" s="27" t="s">
        <v>142</v>
      </c>
      <c r="D122" s="4" t="s">
        <v>742</v>
      </c>
      <c r="F122" s="16">
        <v>267</v>
      </c>
    </row>
    <row r="123" spans="1:6" x14ac:dyDescent="0.2">
      <c r="A123" s="318"/>
      <c r="B123" s="13">
        <v>42752</v>
      </c>
      <c r="C123" s="27" t="s">
        <v>142</v>
      </c>
      <c r="D123" s="4" t="s">
        <v>742</v>
      </c>
      <c r="F123" s="16">
        <v>707.5</v>
      </c>
    </row>
    <row r="124" spans="1:6" x14ac:dyDescent="0.2">
      <c r="A124" s="14"/>
      <c r="B124" s="47">
        <v>42801</v>
      </c>
      <c r="C124" s="27" t="s">
        <v>144</v>
      </c>
      <c r="D124" s="4" t="s">
        <v>743</v>
      </c>
      <c r="F124" s="16">
        <v>8450</v>
      </c>
    </row>
    <row r="125" spans="1:6" x14ac:dyDescent="0.2">
      <c r="A125" s="14"/>
      <c r="B125" s="47">
        <v>42815</v>
      </c>
      <c r="C125" s="27" t="s">
        <v>144</v>
      </c>
      <c r="D125" s="4" t="s">
        <v>743</v>
      </c>
      <c r="F125" s="16">
        <v>6300</v>
      </c>
    </row>
    <row r="126" spans="1:6" x14ac:dyDescent="0.2">
      <c r="A126" s="14"/>
      <c r="B126" s="47">
        <v>42843</v>
      </c>
      <c r="C126" s="27" t="s">
        <v>144</v>
      </c>
      <c r="D126" s="4" t="s">
        <v>743</v>
      </c>
      <c r="F126" s="16">
        <v>9295</v>
      </c>
    </row>
    <row r="127" spans="1:6" x14ac:dyDescent="0.2">
      <c r="A127" s="14"/>
      <c r="B127" s="355">
        <v>42857</v>
      </c>
      <c r="C127" s="356" t="s">
        <v>144</v>
      </c>
      <c r="D127" s="4" t="s">
        <v>743</v>
      </c>
      <c r="F127" s="16">
        <v>615</v>
      </c>
    </row>
    <row r="128" spans="1:6" x14ac:dyDescent="0.2">
      <c r="A128" s="44"/>
      <c r="B128" s="363">
        <v>42892</v>
      </c>
      <c r="C128" s="357" t="s">
        <v>146</v>
      </c>
      <c r="D128" s="44" t="s">
        <v>743</v>
      </c>
      <c r="E128" s="16">
        <v>0</v>
      </c>
      <c r="F128" s="16">
        <v>22014</v>
      </c>
    </row>
    <row r="129" spans="1:6" x14ac:dyDescent="0.2">
      <c r="A129" s="14"/>
      <c r="B129" s="47">
        <v>42645</v>
      </c>
      <c r="C129" s="27" t="s">
        <v>147</v>
      </c>
      <c r="D129" s="4" t="s">
        <v>744</v>
      </c>
      <c r="F129" s="16">
        <v>250</v>
      </c>
    </row>
    <row r="130" spans="1:6" x14ac:dyDescent="0.2">
      <c r="A130" s="318"/>
      <c r="B130" s="13">
        <v>42661</v>
      </c>
      <c r="C130" s="27" t="s">
        <v>147</v>
      </c>
      <c r="D130" s="4" t="s">
        <v>745</v>
      </c>
      <c r="F130" s="16">
        <v>580</v>
      </c>
    </row>
    <row r="131" spans="1:6" x14ac:dyDescent="0.2">
      <c r="A131" s="318"/>
      <c r="B131" s="13">
        <v>42675</v>
      </c>
      <c r="C131" s="27" t="s">
        <v>147</v>
      </c>
      <c r="D131" s="4" t="s">
        <v>746</v>
      </c>
      <c r="F131" s="16">
        <v>2727.5</v>
      </c>
    </row>
    <row r="132" spans="1:6" x14ac:dyDescent="0.2">
      <c r="A132" s="14"/>
      <c r="B132" s="28">
        <v>42801</v>
      </c>
      <c r="C132" s="357" t="s">
        <v>147</v>
      </c>
      <c r="D132" s="4" t="s">
        <v>744</v>
      </c>
      <c r="F132" s="16">
        <v>3496.64</v>
      </c>
    </row>
    <row r="133" spans="1:6" x14ac:dyDescent="0.2">
      <c r="A133" s="14"/>
      <c r="B133" s="47">
        <v>42871</v>
      </c>
      <c r="C133" s="27" t="s">
        <v>147</v>
      </c>
      <c r="D133" s="4" t="s">
        <v>745</v>
      </c>
      <c r="F133" s="16">
        <v>789.75</v>
      </c>
    </row>
    <row r="134" spans="1:6" x14ac:dyDescent="0.2">
      <c r="A134" s="44"/>
      <c r="B134" s="363">
        <v>42892</v>
      </c>
      <c r="C134" s="357" t="s">
        <v>147</v>
      </c>
      <c r="D134" s="44" t="s">
        <v>744</v>
      </c>
      <c r="E134" s="16">
        <v>0</v>
      </c>
      <c r="F134" s="16">
        <v>4565</v>
      </c>
    </row>
    <row r="135" spans="1:6" x14ac:dyDescent="0.2">
      <c r="A135" s="44"/>
      <c r="B135" s="363">
        <v>42892</v>
      </c>
      <c r="C135" s="357" t="s">
        <v>147</v>
      </c>
      <c r="D135" s="44" t="s">
        <v>747</v>
      </c>
      <c r="E135" s="16">
        <v>0</v>
      </c>
      <c r="F135" s="16">
        <v>16.239999999999998</v>
      </c>
    </row>
    <row r="136" spans="1:6" x14ac:dyDescent="0.2">
      <c r="A136" s="14"/>
      <c r="B136" s="47">
        <v>42645</v>
      </c>
      <c r="C136" s="27" t="s">
        <v>151</v>
      </c>
      <c r="D136" s="4" t="s">
        <v>748</v>
      </c>
      <c r="F136" s="16">
        <v>1500</v>
      </c>
    </row>
    <row r="137" spans="1:6" x14ac:dyDescent="0.2">
      <c r="A137" s="318"/>
      <c r="B137" s="13">
        <v>42598</v>
      </c>
      <c r="C137" s="27" t="s">
        <v>26</v>
      </c>
      <c r="D137" s="4" t="s">
        <v>749</v>
      </c>
      <c r="F137" s="16">
        <v>16</v>
      </c>
    </row>
    <row r="138" spans="1:6" x14ac:dyDescent="0.2">
      <c r="A138" s="14"/>
      <c r="B138" s="47">
        <v>42619</v>
      </c>
      <c r="C138" s="27" t="s">
        <v>26</v>
      </c>
      <c r="D138" s="4" t="s">
        <v>749</v>
      </c>
      <c r="F138" s="16">
        <v>22</v>
      </c>
    </row>
    <row r="139" spans="1:6" x14ac:dyDescent="0.2">
      <c r="A139" s="14"/>
      <c r="B139" s="355">
        <v>42645</v>
      </c>
      <c r="C139" s="356" t="s">
        <v>26</v>
      </c>
      <c r="D139" s="4" t="s">
        <v>749</v>
      </c>
      <c r="F139" s="16">
        <v>110</v>
      </c>
    </row>
    <row r="140" spans="1:6" x14ac:dyDescent="0.2">
      <c r="A140" s="14"/>
      <c r="B140" s="47">
        <v>42689</v>
      </c>
      <c r="C140" s="27" t="s">
        <v>26</v>
      </c>
      <c r="D140" s="4" t="s">
        <v>750</v>
      </c>
      <c r="F140" s="16">
        <v>10</v>
      </c>
    </row>
    <row r="141" spans="1:6" x14ac:dyDescent="0.2">
      <c r="A141" s="318"/>
      <c r="B141" s="47">
        <v>42689</v>
      </c>
      <c r="C141" s="27" t="s">
        <v>26</v>
      </c>
      <c r="D141" s="4" t="s">
        <v>750</v>
      </c>
      <c r="F141" s="16">
        <v>10</v>
      </c>
    </row>
    <row r="142" spans="1:6" x14ac:dyDescent="0.2">
      <c r="A142" s="14"/>
      <c r="B142" s="47">
        <v>42724</v>
      </c>
      <c r="C142" s="27" t="s">
        <v>26</v>
      </c>
      <c r="D142" s="12" t="s">
        <v>750</v>
      </c>
      <c r="F142" s="16">
        <v>22</v>
      </c>
    </row>
    <row r="143" spans="1:6" x14ac:dyDescent="0.2">
      <c r="A143" s="14"/>
      <c r="B143" s="47">
        <v>42738</v>
      </c>
      <c r="C143" s="27" t="s">
        <v>751</v>
      </c>
      <c r="D143" s="12" t="s">
        <v>750</v>
      </c>
      <c r="F143" s="16">
        <v>65</v>
      </c>
    </row>
    <row r="144" spans="1:6" x14ac:dyDescent="0.2">
      <c r="A144" s="318"/>
      <c r="B144" s="13">
        <v>42752</v>
      </c>
      <c r="C144" s="27" t="s">
        <v>26</v>
      </c>
      <c r="D144" s="4" t="s">
        <v>750</v>
      </c>
      <c r="F144" s="16">
        <v>12</v>
      </c>
    </row>
    <row r="145" spans="1:6" x14ac:dyDescent="0.2">
      <c r="A145" s="14"/>
      <c r="B145" s="47">
        <v>42752</v>
      </c>
      <c r="C145" s="27" t="s">
        <v>26</v>
      </c>
      <c r="D145" s="4" t="s">
        <v>752</v>
      </c>
      <c r="F145" s="16">
        <v>52.35</v>
      </c>
    </row>
    <row r="146" spans="1:6" x14ac:dyDescent="0.2">
      <c r="A146" s="318"/>
      <c r="B146" s="47">
        <v>42773</v>
      </c>
      <c r="C146" s="27" t="s">
        <v>26</v>
      </c>
      <c r="D146" s="4" t="s">
        <v>752</v>
      </c>
      <c r="F146" s="16">
        <v>35.1</v>
      </c>
    </row>
    <row r="147" spans="1:6" x14ac:dyDescent="0.2">
      <c r="A147" s="14"/>
      <c r="B147" s="358">
        <v>42787</v>
      </c>
      <c r="C147" s="356" t="s">
        <v>26</v>
      </c>
      <c r="D147" s="4" t="s">
        <v>27</v>
      </c>
      <c r="F147" s="16">
        <v>40</v>
      </c>
    </row>
    <row r="148" spans="1:6" x14ac:dyDescent="0.2">
      <c r="A148" s="318"/>
      <c r="B148" s="47">
        <v>42801</v>
      </c>
      <c r="C148" s="27" t="s">
        <v>26</v>
      </c>
      <c r="D148" s="4" t="s">
        <v>750</v>
      </c>
      <c r="F148" s="16">
        <v>37.5</v>
      </c>
    </row>
    <row r="149" spans="1:6" x14ac:dyDescent="0.2">
      <c r="A149" s="14"/>
      <c r="B149" s="28">
        <v>42815</v>
      </c>
      <c r="C149" s="357" t="s">
        <v>26</v>
      </c>
      <c r="D149" s="4" t="s">
        <v>750</v>
      </c>
      <c r="F149" s="16">
        <v>10</v>
      </c>
    </row>
    <row r="150" spans="1:6" x14ac:dyDescent="0.2">
      <c r="A150" s="318"/>
      <c r="B150" s="13">
        <v>42843</v>
      </c>
      <c r="C150" s="27" t="s">
        <v>26</v>
      </c>
      <c r="D150" s="4" t="s">
        <v>750</v>
      </c>
      <c r="E150" s="16">
        <v>0</v>
      </c>
      <c r="F150" s="16">
        <v>15</v>
      </c>
    </row>
    <row r="151" spans="1:6" x14ac:dyDescent="0.2">
      <c r="A151" s="318"/>
      <c r="B151" s="13">
        <v>42857</v>
      </c>
      <c r="C151" s="27" t="s">
        <v>26</v>
      </c>
      <c r="D151" s="4" t="s">
        <v>750</v>
      </c>
      <c r="F151" s="16">
        <v>22</v>
      </c>
    </row>
    <row r="152" spans="1:6" x14ac:dyDescent="0.2">
      <c r="A152" s="14"/>
      <c r="B152" s="47">
        <v>42871</v>
      </c>
      <c r="C152" s="27" t="s">
        <v>26</v>
      </c>
      <c r="D152" s="4" t="s">
        <v>750</v>
      </c>
      <c r="F152" s="16">
        <v>19</v>
      </c>
    </row>
    <row r="153" spans="1:6" x14ac:dyDescent="0.2">
      <c r="A153" s="44"/>
      <c r="B153" s="363">
        <v>42892</v>
      </c>
      <c r="C153" s="357" t="s">
        <v>26</v>
      </c>
      <c r="D153" s="44" t="s">
        <v>750</v>
      </c>
      <c r="E153" s="16">
        <v>0</v>
      </c>
      <c r="F153" s="16">
        <v>10</v>
      </c>
    </row>
    <row r="154" spans="1:6" x14ac:dyDescent="0.2">
      <c r="A154" s="14"/>
      <c r="B154" s="355">
        <v>42570</v>
      </c>
      <c r="C154" s="356" t="s">
        <v>28</v>
      </c>
      <c r="D154" s="4" t="s">
        <v>29</v>
      </c>
      <c r="F154" s="16">
        <v>9.3000000000000007</v>
      </c>
    </row>
    <row r="155" spans="1:6" x14ac:dyDescent="0.2">
      <c r="A155" s="14"/>
      <c r="B155" s="358">
        <v>42598</v>
      </c>
      <c r="C155" s="356" t="s">
        <v>28</v>
      </c>
      <c r="D155" s="4" t="s">
        <v>29</v>
      </c>
      <c r="F155" s="16">
        <v>10.95</v>
      </c>
    </row>
    <row r="156" spans="1:6" x14ac:dyDescent="0.2">
      <c r="A156" s="14"/>
      <c r="B156" s="355">
        <v>42661</v>
      </c>
      <c r="C156" s="356" t="s">
        <v>28</v>
      </c>
      <c r="D156" s="15" t="s">
        <v>29</v>
      </c>
      <c r="F156" s="16">
        <v>3.65</v>
      </c>
    </row>
    <row r="157" spans="1:6" x14ac:dyDescent="0.2">
      <c r="A157" s="318"/>
      <c r="B157" s="47">
        <v>42710</v>
      </c>
      <c r="C157" s="27" t="s">
        <v>28</v>
      </c>
      <c r="D157" s="4" t="s">
        <v>29</v>
      </c>
      <c r="F157" s="16">
        <v>7.5</v>
      </c>
    </row>
    <row r="158" spans="1:6" x14ac:dyDescent="0.2">
      <c r="A158" s="318"/>
      <c r="B158" s="47">
        <v>42724</v>
      </c>
      <c r="C158" s="27" t="s">
        <v>28</v>
      </c>
      <c r="D158" s="4" t="s">
        <v>29</v>
      </c>
      <c r="F158" s="16">
        <v>107.23</v>
      </c>
    </row>
    <row r="159" spans="1:6" x14ac:dyDescent="0.2">
      <c r="A159" s="14"/>
      <c r="B159" s="47">
        <v>42738</v>
      </c>
      <c r="C159" s="27" t="s">
        <v>28</v>
      </c>
      <c r="D159" s="4" t="s">
        <v>29</v>
      </c>
      <c r="F159" s="16">
        <v>2</v>
      </c>
    </row>
    <row r="160" spans="1:6" x14ac:dyDescent="0.2">
      <c r="A160" s="14"/>
      <c r="B160" s="47">
        <v>42738</v>
      </c>
      <c r="C160" s="27" t="s">
        <v>28</v>
      </c>
      <c r="D160" s="4" t="s">
        <v>29</v>
      </c>
      <c r="F160" s="16">
        <v>54.75</v>
      </c>
    </row>
    <row r="161" spans="1:6" x14ac:dyDescent="0.2">
      <c r="A161" s="14"/>
      <c r="B161" s="47">
        <v>42738</v>
      </c>
      <c r="C161" s="27" t="s">
        <v>28</v>
      </c>
      <c r="D161" s="4" t="s">
        <v>29</v>
      </c>
      <c r="F161" s="16">
        <v>3.35</v>
      </c>
    </row>
    <row r="162" spans="1:6" x14ac:dyDescent="0.2">
      <c r="A162" s="318"/>
      <c r="B162" s="13">
        <v>42752</v>
      </c>
      <c r="C162" s="27" t="s">
        <v>28</v>
      </c>
      <c r="D162" s="4" t="s">
        <v>31</v>
      </c>
      <c r="F162" s="16">
        <v>107.85</v>
      </c>
    </row>
    <row r="163" spans="1:6" x14ac:dyDescent="0.2">
      <c r="A163" s="14"/>
      <c r="B163" s="47">
        <v>42752</v>
      </c>
      <c r="C163" s="27" t="s">
        <v>28</v>
      </c>
      <c r="D163" s="4" t="s">
        <v>31</v>
      </c>
      <c r="F163" s="16">
        <v>32.85</v>
      </c>
    </row>
    <row r="164" spans="1:6" x14ac:dyDescent="0.2">
      <c r="A164" s="318"/>
      <c r="B164" s="13">
        <v>42752</v>
      </c>
      <c r="C164" s="27" t="s">
        <v>28</v>
      </c>
      <c r="D164" s="4" t="s">
        <v>31</v>
      </c>
      <c r="F164" s="16">
        <v>5.56</v>
      </c>
    </row>
    <row r="165" spans="1:6" x14ac:dyDescent="0.2">
      <c r="A165" s="14"/>
      <c r="B165" s="358">
        <v>42773</v>
      </c>
      <c r="C165" s="356" t="s">
        <v>28</v>
      </c>
      <c r="D165" s="4" t="s">
        <v>31</v>
      </c>
      <c r="F165" s="16">
        <v>59.4</v>
      </c>
    </row>
    <row r="166" spans="1:6" x14ac:dyDescent="0.2">
      <c r="A166" s="14"/>
      <c r="B166" s="47">
        <v>42773</v>
      </c>
      <c r="C166" s="27" t="s">
        <v>28</v>
      </c>
      <c r="D166" s="4" t="s">
        <v>31</v>
      </c>
      <c r="F166" s="16">
        <v>3.65</v>
      </c>
    </row>
    <row r="167" spans="1:6" x14ac:dyDescent="0.2">
      <c r="A167" s="318"/>
      <c r="B167" s="47">
        <v>42787</v>
      </c>
      <c r="C167" s="27" t="s">
        <v>28</v>
      </c>
      <c r="D167" s="4" t="s">
        <v>31</v>
      </c>
      <c r="F167" s="16">
        <v>42.15</v>
      </c>
    </row>
    <row r="168" spans="1:6" x14ac:dyDescent="0.2">
      <c r="A168" s="318"/>
      <c r="B168" s="13">
        <v>42787</v>
      </c>
      <c r="C168" s="27" t="s">
        <v>28</v>
      </c>
      <c r="D168" s="4" t="s">
        <v>31</v>
      </c>
      <c r="F168" s="16">
        <v>3.55</v>
      </c>
    </row>
    <row r="169" spans="1:6" x14ac:dyDescent="0.2">
      <c r="A169" s="318"/>
      <c r="B169" s="47">
        <v>42801</v>
      </c>
      <c r="C169" s="27" t="s">
        <v>28</v>
      </c>
      <c r="D169" s="4" t="s">
        <v>753</v>
      </c>
      <c r="F169" s="16">
        <v>25.55</v>
      </c>
    </row>
    <row r="170" spans="1:6" x14ac:dyDescent="0.2">
      <c r="A170" s="318"/>
      <c r="B170" s="13">
        <v>42801</v>
      </c>
      <c r="C170" s="27" t="s">
        <v>28</v>
      </c>
      <c r="D170" s="4" t="s">
        <v>754</v>
      </c>
      <c r="F170" s="16">
        <v>10.85</v>
      </c>
    </row>
    <row r="171" spans="1:6" x14ac:dyDescent="0.2">
      <c r="A171" s="14"/>
      <c r="B171" s="47">
        <v>42801</v>
      </c>
      <c r="C171" s="27" t="s">
        <v>28</v>
      </c>
      <c r="D171" s="4" t="s">
        <v>755</v>
      </c>
      <c r="F171" s="16">
        <v>3.65</v>
      </c>
    </row>
    <row r="172" spans="1:6" x14ac:dyDescent="0.2">
      <c r="A172" s="318"/>
      <c r="B172" s="13">
        <v>42815</v>
      </c>
      <c r="C172" s="27" t="s">
        <v>28</v>
      </c>
      <c r="D172" s="4" t="s">
        <v>753</v>
      </c>
      <c r="F172" s="16">
        <v>160.6</v>
      </c>
    </row>
    <row r="173" spans="1:6" x14ac:dyDescent="0.2">
      <c r="A173" s="318"/>
      <c r="B173" s="47">
        <v>42815</v>
      </c>
      <c r="C173" s="27" t="s">
        <v>28</v>
      </c>
      <c r="D173" s="4" t="s">
        <v>754</v>
      </c>
      <c r="F173" s="16">
        <v>14.6</v>
      </c>
    </row>
    <row r="174" spans="1:6" x14ac:dyDescent="0.2">
      <c r="A174" s="14"/>
      <c r="B174" s="28">
        <v>42843</v>
      </c>
      <c r="C174" s="357" t="s">
        <v>28</v>
      </c>
      <c r="D174" s="4" t="s">
        <v>29</v>
      </c>
      <c r="F174" s="16">
        <v>10.5</v>
      </c>
    </row>
    <row r="175" spans="1:6" x14ac:dyDescent="0.2">
      <c r="A175" s="318"/>
      <c r="B175" s="13">
        <v>42843</v>
      </c>
      <c r="C175" s="27" t="s">
        <v>28</v>
      </c>
      <c r="D175" s="4" t="s">
        <v>29</v>
      </c>
      <c r="F175" s="16">
        <v>3.65</v>
      </c>
    </row>
    <row r="176" spans="1:6" x14ac:dyDescent="0.2">
      <c r="A176" s="14"/>
      <c r="B176" s="47">
        <v>42857</v>
      </c>
      <c r="C176" s="27" t="s">
        <v>28</v>
      </c>
      <c r="D176" s="4" t="s">
        <v>29</v>
      </c>
      <c r="F176" s="16">
        <v>7.3</v>
      </c>
    </row>
    <row r="177" spans="1:6" x14ac:dyDescent="0.2">
      <c r="A177" s="44"/>
      <c r="B177" s="363">
        <v>42892</v>
      </c>
      <c r="C177" s="357" t="s">
        <v>28</v>
      </c>
      <c r="D177" s="44" t="s">
        <v>753</v>
      </c>
      <c r="E177" s="16">
        <v>0</v>
      </c>
      <c r="F177" s="16">
        <v>3.65</v>
      </c>
    </row>
    <row r="178" spans="1:6" x14ac:dyDescent="0.2">
      <c r="A178" s="44"/>
      <c r="B178" s="363">
        <v>42892</v>
      </c>
      <c r="C178" s="357" t="s">
        <v>28</v>
      </c>
      <c r="D178" s="44" t="s">
        <v>754</v>
      </c>
      <c r="E178" s="16">
        <v>0</v>
      </c>
      <c r="F178" s="16">
        <v>7.3</v>
      </c>
    </row>
    <row r="179" spans="1:6" x14ac:dyDescent="0.2">
      <c r="A179" s="318"/>
      <c r="B179" s="47">
        <v>42661</v>
      </c>
      <c r="C179" s="27" t="s">
        <v>155</v>
      </c>
      <c r="D179" s="4" t="s">
        <v>756</v>
      </c>
      <c r="F179" s="16">
        <v>272</v>
      </c>
    </row>
    <row r="180" spans="1:6" x14ac:dyDescent="0.2">
      <c r="A180" s="14"/>
      <c r="B180" s="47">
        <v>42738</v>
      </c>
      <c r="C180" s="27" t="s">
        <v>155</v>
      </c>
      <c r="D180" s="4" t="s">
        <v>757</v>
      </c>
      <c r="F180" s="16">
        <v>290</v>
      </c>
    </row>
    <row r="181" spans="1:6" x14ac:dyDescent="0.2">
      <c r="A181" s="14"/>
      <c r="B181" s="47">
        <v>42598</v>
      </c>
      <c r="C181" s="27" t="s">
        <v>33</v>
      </c>
      <c r="D181" s="4" t="s">
        <v>758</v>
      </c>
      <c r="F181" s="16">
        <v>46</v>
      </c>
    </row>
    <row r="182" spans="1:6" x14ac:dyDescent="0.2">
      <c r="A182" s="318"/>
      <c r="B182" s="13">
        <v>42619</v>
      </c>
      <c r="C182" s="27" t="s">
        <v>33</v>
      </c>
      <c r="D182" s="4" t="s">
        <v>758</v>
      </c>
      <c r="F182" s="16">
        <v>42</v>
      </c>
    </row>
    <row r="183" spans="1:6" x14ac:dyDescent="0.2">
      <c r="A183" s="318"/>
      <c r="B183" s="13">
        <v>42645</v>
      </c>
      <c r="C183" s="27" t="s">
        <v>33</v>
      </c>
      <c r="D183" s="4" t="s">
        <v>758</v>
      </c>
      <c r="F183" s="16">
        <v>100</v>
      </c>
    </row>
    <row r="184" spans="1:6" x14ac:dyDescent="0.2">
      <c r="A184" s="14"/>
      <c r="B184" s="47">
        <v>42689</v>
      </c>
      <c r="C184" s="27" t="s">
        <v>33</v>
      </c>
      <c r="D184" s="4" t="s">
        <v>37</v>
      </c>
      <c r="F184" s="16">
        <v>23</v>
      </c>
    </row>
    <row r="185" spans="1:6" x14ac:dyDescent="0.2">
      <c r="A185" s="14"/>
      <c r="B185" s="47">
        <v>42710</v>
      </c>
      <c r="C185" s="27" t="s">
        <v>33</v>
      </c>
      <c r="D185" s="4" t="s">
        <v>37</v>
      </c>
      <c r="F185" s="16">
        <v>16</v>
      </c>
    </row>
    <row r="186" spans="1:6" x14ac:dyDescent="0.2">
      <c r="A186" s="318"/>
      <c r="B186" s="47">
        <v>42724</v>
      </c>
      <c r="C186" s="27" t="s">
        <v>33</v>
      </c>
      <c r="D186" s="4" t="s">
        <v>37</v>
      </c>
      <c r="F186" s="16">
        <v>26</v>
      </c>
    </row>
    <row r="187" spans="1:6" x14ac:dyDescent="0.2">
      <c r="A187" s="318"/>
      <c r="B187" s="13">
        <v>42738</v>
      </c>
      <c r="C187" s="27" t="s">
        <v>33</v>
      </c>
      <c r="D187" s="4" t="s">
        <v>37</v>
      </c>
      <c r="F187" s="16">
        <v>23</v>
      </c>
    </row>
    <row r="188" spans="1:6" x14ac:dyDescent="0.2">
      <c r="A188" s="318"/>
      <c r="B188" s="47">
        <v>42752</v>
      </c>
      <c r="C188" s="27" t="s">
        <v>759</v>
      </c>
      <c r="D188" s="4" t="s">
        <v>37</v>
      </c>
      <c r="F188" s="16">
        <v>27</v>
      </c>
    </row>
    <row r="189" spans="1:6" x14ac:dyDescent="0.2">
      <c r="A189" s="14"/>
      <c r="B189" s="47">
        <v>42787</v>
      </c>
      <c r="C189" s="27" t="s">
        <v>33</v>
      </c>
      <c r="D189" s="4" t="s">
        <v>34</v>
      </c>
      <c r="F189" s="16">
        <v>46</v>
      </c>
    </row>
    <row r="190" spans="1:6" x14ac:dyDescent="0.2">
      <c r="A190" s="14"/>
      <c r="B190" s="47">
        <v>42815</v>
      </c>
      <c r="C190" s="27" t="s">
        <v>33</v>
      </c>
      <c r="D190" s="4" t="s">
        <v>37</v>
      </c>
      <c r="F190" s="16">
        <v>18</v>
      </c>
    </row>
    <row r="191" spans="1:6" x14ac:dyDescent="0.2">
      <c r="A191" s="14"/>
      <c r="B191" s="47">
        <v>42843</v>
      </c>
      <c r="C191" s="27" t="s">
        <v>33</v>
      </c>
      <c r="D191" s="4" t="s">
        <v>37</v>
      </c>
      <c r="E191" s="16">
        <v>0</v>
      </c>
      <c r="F191" s="16">
        <v>24</v>
      </c>
    </row>
    <row r="192" spans="1:6" x14ac:dyDescent="0.2">
      <c r="A192" s="318"/>
      <c r="B192" s="13">
        <v>42857</v>
      </c>
      <c r="C192" s="27" t="s">
        <v>33</v>
      </c>
      <c r="D192" s="4" t="s">
        <v>37</v>
      </c>
      <c r="F192" s="16">
        <v>25</v>
      </c>
    </row>
    <row r="193" spans="1:6" x14ac:dyDescent="0.2">
      <c r="A193" s="14"/>
      <c r="B193" s="47">
        <v>42871</v>
      </c>
      <c r="C193" s="27" t="s">
        <v>33</v>
      </c>
      <c r="D193" s="4" t="s">
        <v>37</v>
      </c>
      <c r="F193" s="16">
        <v>25</v>
      </c>
    </row>
    <row r="194" spans="1:6" x14ac:dyDescent="0.2">
      <c r="A194" s="44"/>
      <c r="B194" s="363">
        <v>42892</v>
      </c>
      <c r="C194" s="357" t="s">
        <v>33</v>
      </c>
      <c r="D194" s="44" t="s">
        <v>37</v>
      </c>
      <c r="E194" s="16">
        <v>0</v>
      </c>
      <c r="F194" s="16">
        <v>31</v>
      </c>
    </row>
    <row r="195" spans="1:6" x14ac:dyDescent="0.2">
      <c r="A195" s="14"/>
      <c r="B195" s="355">
        <v>42645</v>
      </c>
      <c r="C195" s="356" t="s">
        <v>36</v>
      </c>
      <c r="D195" s="4" t="s">
        <v>654</v>
      </c>
      <c r="F195" s="16">
        <v>135</v>
      </c>
    </row>
    <row r="196" spans="1:6" x14ac:dyDescent="0.2">
      <c r="A196" s="14"/>
      <c r="B196" s="47">
        <v>42661</v>
      </c>
      <c r="C196" s="27" t="s">
        <v>36</v>
      </c>
      <c r="D196" s="4" t="s">
        <v>654</v>
      </c>
      <c r="F196" s="16">
        <v>7.5</v>
      </c>
    </row>
    <row r="197" spans="1:6" x14ac:dyDescent="0.2">
      <c r="A197" s="14"/>
      <c r="B197" s="47">
        <v>42689</v>
      </c>
      <c r="C197" s="27" t="s">
        <v>36</v>
      </c>
      <c r="D197" s="4" t="s">
        <v>654</v>
      </c>
      <c r="F197" s="16">
        <v>15</v>
      </c>
    </row>
    <row r="198" spans="1:6" x14ac:dyDescent="0.2">
      <c r="A198" s="318"/>
      <c r="B198" s="13">
        <v>42710</v>
      </c>
      <c r="C198" s="27" t="s">
        <v>36</v>
      </c>
      <c r="D198" s="4" t="s">
        <v>760</v>
      </c>
      <c r="F198" s="16">
        <v>75</v>
      </c>
    </row>
    <row r="199" spans="1:6" x14ac:dyDescent="0.2">
      <c r="A199" s="318"/>
      <c r="B199" s="47">
        <v>42738</v>
      </c>
      <c r="C199" s="27" t="s">
        <v>36</v>
      </c>
      <c r="D199" s="4" t="s">
        <v>654</v>
      </c>
      <c r="F199" s="16">
        <v>7.5</v>
      </c>
    </row>
    <row r="200" spans="1:6" x14ac:dyDescent="0.2">
      <c r="A200" s="318"/>
      <c r="B200" s="13">
        <v>42773</v>
      </c>
      <c r="C200" s="27" t="s">
        <v>36</v>
      </c>
      <c r="D200" s="4" t="s">
        <v>670</v>
      </c>
      <c r="F200" s="16">
        <v>14.5875</v>
      </c>
    </row>
    <row r="201" spans="1:6" x14ac:dyDescent="0.2">
      <c r="A201" s="14"/>
      <c r="B201" s="28">
        <v>42871</v>
      </c>
      <c r="C201" s="27" t="s">
        <v>36</v>
      </c>
      <c r="D201" s="4" t="s">
        <v>654</v>
      </c>
      <c r="F201" s="16">
        <v>15</v>
      </c>
    </row>
    <row r="202" spans="1:6" x14ac:dyDescent="0.2">
      <c r="A202" s="14"/>
      <c r="B202" s="47">
        <v>42871</v>
      </c>
      <c r="C202" s="27" t="s">
        <v>36</v>
      </c>
      <c r="D202" s="4" t="s">
        <v>654</v>
      </c>
      <c r="F202" s="16">
        <v>45</v>
      </c>
    </row>
    <row r="203" spans="1:6" x14ac:dyDescent="0.2">
      <c r="A203" s="44"/>
      <c r="B203" s="363">
        <v>42892</v>
      </c>
      <c r="C203" s="357" t="s">
        <v>36</v>
      </c>
      <c r="D203" s="44" t="s">
        <v>654</v>
      </c>
      <c r="E203" s="16">
        <v>0</v>
      </c>
      <c r="F203" s="16">
        <v>105</v>
      </c>
    </row>
    <row r="204" spans="1:6" x14ac:dyDescent="0.2">
      <c r="A204" s="14"/>
      <c r="B204" s="47">
        <v>42570</v>
      </c>
      <c r="C204" s="27" t="s">
        <v>39</v>
      </c>
      <c r="D204" s="4" t="s">
        <v>73</v>
      </c>
      <c r="F204" s="16">
        <v>8</v>
      </c>
    </row>
    <row r="205" spans="1:6" x14ac:dyDescent="0.2">
      <c r="A205" s="14"/>
      <c r="B205" s="47">
        <v>42598</v>
      </c>
      <c r="C205" s="27" t="s">
        <v>39</v>
      </c>
      <c r="D205" s="4" t="s">
        <v>73</v>
      </c>
      <c r="F205" s="16">
        <v>3</v>
      </c>
    </row>
    <row r="206" spans="1:6" x14ac:dyDescent="0.2">
      <c r="A206" s="14"/>
      <c r="B206" s="47">
        <v>42619</v>
      </c>
      <c r="C206" s="27" t="s">
        <v>39</v>
      </c>
      <c r="D206" s="4" t="s">
        <v>73</v>
      </c>
      <c r="F206" s="16">
        <v>2</v>
      </c>
    </row>
    <row r="207" spans="1:6" x14ac:dyDescent="0.2">
      <c r="A207" s="14"/>
      <c r="B207" s="47">
        <v>42724</v>
      </c>
      <c r="C207" s="27" t="s">
        <v>39</v>
      </c>
      <c r="D207" s="4" t="s">
        <v>40</v>
      </c>
      <c r="F207" s="16">
        <v>92.8</v>
      </c>
    </row>
    <row r="208" spans="1:6" x14ac:dyDescent="0.2">
      <c r="A208" s="14"/>
      <c r="B208" s="47">
        <v>42738</v>
      </c>
      <c r="C208" s="27" t="s">
        <v>39</v>
      </c>
      <c r="D208" s="4" t="s">
        <v>40</v>
      </c>
      <c r="F208" s="16">
        <v>92.2</v>
      </c>
    </row>
    <row r="209" spans="1:6" x14ac:dyDescent="0.2">
      <c r="A209" s="14"/>
      <c r="B209" s="47">
        <v>42738</v>
      </c>
      <c r="C209" s="27" t="s">
        <v>39</v>
      </c>
      <c r="D209" s="4" t="s">
        <v>761</v>
      </c>
      <c r="F209" s="16">
        <v>500</v>
      </c>
    </row>
    <row r="210" spans="1:6" x14ac:dyDescent="0.2">
      <c r="A210" s="318"/>
      <c r="B210" s="13">
        <v>42843</v>
      </c>
      <c r="C210" s="27" t="s">
        <v>39</v>
      </c>
      <c r="D210" s="4" t="s">
        <v>40</v>
      </c>
      <c r="E210" s="16">
        <v>0</v>
      </c>
      <c r="F210" s="16">
        <v>6.7</v>
      </c>
    </row>
    <row r="211" spans="1:6" x14ac:dyDescent="0.2">
      <c r="A211" s="14"/>
      <c r="B211" s="47">
        <v>42857</v>
      </c>
      <c r="C211" s="27" t="s">
        <v>39</v>
      </c>
      <c r="D211" s="4" t="s">
        <v>762</v>
      </c>
      <c r="F211" s="16">
        <v>100</v>
      </c>
    </row>
    <row r="212" spans="1:6" x14ac:dyDescent="0.2">
      <c r="A212" s="44"/>
      <c r="B212" s="363">
        <v>42892</v>
      </c>
      <c r="C212" s="357" t="s">
        <v>39</v>
      </c>
      <c r="D212" s="44" t="s">
        <v>763</v>
      </c>
      <c r="E212" s="16">
        <v>0</v>
      </c>
      <c r="F212" s="16">
        <v>125</v>
      </c>
    </row>
    <row r="213" spans="1:6" x14ac:dyDescent="0.2">
      <c r="A213" s="44"/>
      <c r="B213" s="363">
        <v>42892</v>
      </c>
      <c r="C213" s="357" t="s">
        <v>39</v>
      </c>
      <c r="D213" s="44" t="s">
        <v>40</v>
      </c>
      <c r="E213" s="16">
        <v>0</v>
      </c>
      <c r="F213" s="16">
        <v>25</v>
      </c>
    </row>
    <row r="214" spans="1:6" x14ac:dyDescent="0.2">
      <c r="A214" s="14">
        <v>6938</v>
      </c>
      <c r="B214" s="28">
        <v>773132</v>
      </c>
      <c r="C214" s="356" t="s">
        <v>39</v>
      </c>
      <c r="D214" s="4" t="s">
        <v>764</v>
      </c>
      <c r="F214" s="16">
        <v>788</v>
      </c>
    </row>
    <row r="215" spans="1:6" x14ac:dyDescent="0.2">
      <c r="A215" s="14"/>
      <c r="B215" s="47">
        <v>42598</v>
      </c>
      <c r="C215" s="357" t="s">
        <v>81</v>
      </c>
      <c r="D215" s="4" t="s">
        <v>765</v>
      </c>
      <c r="F215" s="16">
        <v>50</v>
      </c>
    </row>
    <row r="216" spans="1:6" x14ac:dyDescent="0.2">
      <c r="A216" s="14"/>
      <c r="B216" s="47">
        <v>42675</v>
      </c>
      <c r="C216" s="27" t="s">
        <v>81</v>
      </c>
      <c r="D216" s="4" t="s">
        <v>766</v>
      </c>
      <c r="F216" s="16">
        <v>50</v>
      </c>
    </row>
    <row r="217" spans="1:6" x14ac:dyDescent="0.2">
      <c r="A217" s="14"/>
      <c r="B217" s="355">
        <v>42689</v>
      </c>
      <c r="C217" s="356" t="s">
        <v>81</v>
      </c>
      <c r="D217" s="15" t="s">
        <v>767</v>
      </c>
      <c r="F217" s="16">
        <v>60</v>
      </c>
    </row>
    <row r="218" spans="1:6" x14ac:dyDescent="0.2">
      <c r="A218" s="14"/>
      <c r="B218" s="47">
        <v>42724</v>
      </c>
      <c r="C218" s="27" t="s">
        <v>81</v>
      </c>
      <c r="D218" s="4" t="s">
        <v>768</v>
      </c>
      <c r="F218" s="16">
        <v>7</v>
      </c>
    </row>
    <row r="219" spans="1:6" x14ac:dyDescent="0.2">
      <c r="A219" s="14"/>
      <c r="B219" s="47">
        <v>42773</v>
      </c>
      <c r="C219" s="27" t="s">
        <v>81</v>
      </c>
      <c r="D219" s="12" t="s">
        <v>690</v>
      </c>
      <c r="F219" s="16">
        <v>30</v>
      </c>
    </row>
    <row r="220" spans="1:6" x14ac:dyDescent="0.2">
      <c r="A220" s="14"/>
      <c r="B220" s="47">
        <v>42787</v>
      </c>
      <c r="C220" s="27" t="s">
        <v>81</v>
      </c>
      <c r="D220" s="4" t="s">
        <v>690</v>
      </c>
      <c r="E220" s="16">
        <v>0</v>
      </c>
      <c r="F220" s="16">
        <v>16</v>
      </c>
    </row>
    <row r="221" spans="1:6" x14ac:dyDescent="0.2">
      <c r="A221" s="318"/>
      <c r="B221" s="47">
        <v>42871</v>
      </c>
      <c r="C221" s="27" t="s">
        <v>81</v>
      </c>
      <c r="D221" s="4" t="s">
        <v>475</v>
      </c>
      <c r="F221" s="16">
        <v>25</v>
      </c>
    </row>
    <row r="222" spans="1:6" x14ac:dyDescent="0.2">
      <c r="A222" s="318"/>
      <c r="B222" s="13">
        <v>42871</v>
      </c>
      <c r="C222" s="27" t="s">
        <v>81</v>
      </c>
      <c r="D222" s="4" t="s">
        <v>762</v>
      </c>
      <c r="F222" s="16">
        <v>100</v>
      </c>
    </row>
    <row r="223" spans="1:6" x14ac:dyDescent="0.2">
      <c r="A223" s="14"/>
      <c r="B223" s="47">
        <v>42871</v>
      </c>
      <c r="C223" s="27" t="s">
        <v>81</v>
      </c>
      <c r="D223" s="4" t="s">
        <v>769</v>
      </c>
      <c r="F223" s="16">
        <v>79.84</v>
      </c>
    </row>
    <row r="224" spans="1:6" x14ac:dyDescent="0.2">
      <c r="A224" s="44"/>
      <c r="B224" s="363">
        <v>42892</v>
      </c>
      <c r="C224" s="357" t="s">
        <v>81</v>
      </c>
      <c r="D224" s="44" t="s">
        <v>770</v>
      </c>
      <c r="E224" s="16">
        <v>0</v>
      </c>
      <c r="F224" s="16">
        <v>136.02000000000001</v>
      </c>
    </row>
    <row r="225" spans="1:6" x14ac:dyDescent="0.2">
      <c r="A225" s="14"/>
      <c r="B225" s="47">
        <v>42570</v>
      </c>
      <c r="C225" s="27" t="s">
        <v>44</v>
      </c>
      <c r="D225" s="4" t="s">
        <v>758</v>
      </c>
      <c r="F225" s="16">
        <v>24</v>
      </c>
    </row>
    <row r="226" spans="1:6" x14ac:dyDescent="0.2">
      <c r="A226" s="14"/>
      <c r="B226" s="47">
        <v>42689</v>
      </c>
      <c r="C226" s="27" t="s">
        <v>771</v>
      </c>
      <c r="D226" s="4" t="s">
        <v>590</v>
      </c>
      <c r="F226" s="16">
        <v>12</v>
      </c>
    </row>
    <row r="227" spans="1:6" x14ac:dyDescent="0.2">
      <c r="A227" s="318"/>
      <c r="B227" s="47">
        <v>42752</v>
      </c>
      <c r="C227" s="27" t="s">
        <v>44</v>
      </c>
      <c r="D227" s="4" t="s">
        <v>591</v>
      </c>
      <c r="F227" s="16">
        <v>19.02</v>
      </c>
    </row>
    <row r="228" spans="1:6" x14ac:dyDescent="0.2">
      <c r="A228" s="318"/>
      <c r="B228" s="13">
        <v>42752</v>
      </c>
      <c r="C228" s="27" t="s">
        <v>44</v>
      </c>
      <c r="D228" s="4" t="s">
        <v>772</v>
      </c>
      <c r="F228" s="16">
        <v>106</v>
      </c>
    </row>
    <row r="229" spans="1:6" x14ac:dyDescent="0.2">
      <c r="A229" s="14"/>
      <c r="B229" s="47">
        <v>42787</v>
      </c>
      <c r="C229" s="27" t="s">
        <v>44</v>
      </c>
      <c r="D229" s="4" t="s">
        <v>773</v>
      </c>
      <c r="F229" s="16">
        <v>13.1</v>
      </c>
    </row>
    <row r="230" spans="1:6" x14ac:dyDescent="0.2">
      <c r="A230" s="318"/>
      <c r="B230" s="13">
        <v>42843</v>
      </c>
      <c r="C230" s="27" t="s">
        <v>44</v>
      </c>
      <c r="D230" s="4" t="s">
        <v>774</v>
      </c>
      <c r="F230" s="16">
        <v>1020</v>
      </c>
    </row>
    <row r="231" spans="1:6" x14ac:dyDescent="0.2">
      <c r="A231" s="14"/>
      <c r="B231" s="28">
        <v>42552</v>
      </c>
      <c r="C231" s="356" t="s">
        <v>167</v>
      </c>
      <c r="D231" s="4" t="s">
        <v>775</v>
      </c>
      <c r="F231" s="16">
        <v>1338</v>
      </c>
    </row>
    <row r="232" spans="1:6" x14ac:dyDescent="0.2">
      <c r="A232" s="14"/>
      <c r="B232" s="355">
        <v>42570</v>
      </c>
      <c r="C232" s="27" t="s">
        <v>167</v>
      </c>
      <c r="D232" s="59" t="s">
        <v>168</v>
      </c>
      <c r="F232" s="16">
        <v>8</v>
      </c>
    </row>
    <row r="233" spans="1:6" x14ac:dyDescent="0.2">
      <c r="A233" s="14"/>
      <c r="B233" s="47">
        <v>42598</v>
      </c>
      <c r="C233" s="27" t="s">
        <v>167</v>
      </c>
      <c r="D233" s="4" t="s">
        <v>168</v>
      </c>
      <c r="F233" s="16">
        <v>3</v>
      </c>
    </row>
    <row r="234" spans="1:6" x14ac:dyDescent="0.2">
      <c r="A234" s="318"/>
      <c r="B234" s="13">
        <v>42619</v>
      </c>
      <c r="C234" s="27" t="s">
        <v>167</v>
      </c>
      <c r="D234" s="4" t="s">
        <v>168</v>
      </c>
      <c r="F234" s="16">
        <v>2</v>
      </c>
    </row>
    <row r="235" spans="1:6" x14ac:dyDescent="0.2">
      <c r="A235" s="14"/>
      <c r="B235" s="28">
        <v>42645</v>
      </c>
      <c r="C235" s="357" t="s">
        <v>167</v>
      </c>
      <c r="D235" s="4" t="s">
        <v>776</v>
      </c>
      <c r="F235" s="16">
        <v>194</v>
      </c>
    </row>
    <row r="236" spans="1:6" x14ac:dyDescent="0.2">
      <c r="A236" s="14"/>
      <c r="B236" s="47">
        <v>42645</v>
      </c>
      <c r="C236" s="357" t="s">
        <v>167</v>
      </c>
      <c r="D236" s="4" t="s">
        <v>777</v>
      </c>
      <c r="F236" s="16">
        <v>3583.17</v>
      </c>
    </row>
    <row r="237" spans="1:6" x14ac:dyDescent="0.2">
      <c r="A237" s="14"/>
      <c r="B237" s="47">
        <v>42661</v>
      </c>
      <c r="C237" s="27" t="s">
        <v>167</v>
      </c>
      <c r="D237" s="12" t="s">
        <v>222</v>
      </c>
      <c r="F237" s="16">
        <v>50</v>
      </c>
    </row>
    <row r="238" spans="1:6" x14ac:dyDescent="0.2">
      <c r="A238" s="318"/>
      <c r="B238" s="13">
        <v>42710</v>
      </c>
      <c r="C238" s="27" t="s">
        <v>167</v>
      </c>
      <c r="D238" s="4" t="s">
        <v>778</v>
      </c>
      <c r="F238" s="16">
        <v>0.35</v>
      </c>
    </row>
    <row r="239" spans="1:6" x14ac:dyDescent="0.2">
      <c r="A239" s="14"/>
      <c r="B239" s="47">
        <v>42815</v>
      </c>
      <c r="C239" s="27" t="s">
        <v>167</v>
      </c>
      <c r="D239" s="4" t="s">
        <v>40</v>
      </c>
      <c r="F239" s="16">
        <v>1.05</v>
      </c>
    </row>
    <row r="240" spans="1:6" x14ac:dyDescent="0.2">
      <c r="A240" s="14"/>
      <c r="B240" s="47">
        <v>42857</v>
      </c>
      <c r="C240" s="357" t="s">
        <v>167</v>
      </c>
      <c r="D240" s="4" t="s">
        <v>776</v>
      </c>
      <c r="F240" s="16">
        <v>2205.7600000000002</v>
      </c>
    </row>
    <row r="241" spans="1:7" x14ac:dyDescent="0.2">
      <c r="A241" s="14"/>
      <c r="B241" s="47">
        <v>42871</v>
      </c>
      <c r="C241" s="27" t="s">
        <v>167</v>
      </c>
      <c r="D241" s="4" t="s">
        <v>168</v>
      </c>
      <c r="F241" s="16">
        <v>858.04</v>
      </c>
    </row>
    <row r="242" spans="1:7" x14ac:dyDescent="0.2">
      <c r="A242" s="44"/>
      <c r="B242" s="363">
        <v>42892</v>
      </c>
      <c r="C242" s="357" t="s">
        <v>167</v>
      </c>
      <c r="D242" s="44" t="s">
        <v>222</v>
      </c>
      <c r="E242" s="16">
        <v>0</v>
      </c>
      <c r="F242" s="16">
        <v>3919</v>
      </c>
      <c r="G242" s="54">
        <f>SUM(F231:F242)</f>
        <v>12162.37</v>
      </c>
    </row>
    <row r="243" spans="1:7" x14ac:dyDescent="0.2">
      <c r="A243" s="14"/>
      <c r="B243" s="47">
        <v>42619</v>
      </c>
      <c r="C243" s="27" t="s">
        <v>170</v>
      </c>
      <c r="D243" s="4" t="s">
        <v>779</v>
      </c>
      <c r="F243" s="16">
        <v>530</v>
      </c>
    </row>
    <row r="244" spans="1:7" x14ac:dyDescent="0.2">
      <c r="A244" s="318"/>
      <c r="B244" s="47">
        <v>42570</v>
      </c>
      <c r="C244" s="27" t="s">
        <v>113</v>
      </c>
      <c r="D244" s="4" t="s">
        <v>97</v>
      </c>
      <c r="F244" s="16">
        <v>60</v>
      </c>
    </row>
    <row r="245" spans="1:7" x14ac:dyDescent="0.2">
      <c r="A245" s="318"/>
      <c r="B245" s="13">
        <v>42598</v>
      </c>
      <c r="C245" s="27" t="s">
        <v>113</v>
      </c>
      <c r="D245" s="4" t="s">
        <v>97</v>
      </c>
      <c r="F245" s="16">
        <v>128</v>
      </c>
    </row>
    <row r="246" spans="1:7" x14ac:dyDescent="0.2">
      <c r="A246" s="14"/>
      <c r="B246" s="47">
        <v>42619</v>
      </c>
      <c r="C246" s="27" t="s">
        <v>113</v>
      </c>
      <c r="D246" s="4" t="s">
        <v>97</v>
      </c>
      <c r="F246" s="16">
        <v>70</v>
      </c>
    </row>
    <row r="247" spans="1:7" x14ac:dyDescent="0.2">
      <c r="A247" s="14"/>
      <c r="B247" s="28">
        <v>42645</v>
      </c>
      <c r="C247" s="356" t="s">
        <v>113</v>
      </c>
      <c r="D247" s="4" t="s">
        <v>97</v>
      </c>
      <c r="F247" s="16">
        <v>210</v>
      </c>
    </row>
    <row r="248" spans="1:7" x14ac:dyDescent="0.2">
      <c r="A248" s="14"/>
      <c r="B248" s="47">
        <v>42661</v>
      </c>
      <c r="C248" s="27" t="s">
        <v>113</v>
      </c>
      <c r="D248" s="4" t="s">
        <v>97</v>
      </c>
      <c r="F248" s="16">
        <v>68</v>
      </c>
    </row>
    <row r="249" spans="1:7" x14ac:dyDescent="0.2">
      <c r="A249" s="318"/>
      <c r="B249" s="47">
        <v>42689</v>
      </c>
      <c r="C249" s="27" t="s">
        <v>113</v>
      </c>
      <c r="D249" s="4" t="s">
        <v>177</v>
      </c>
      <c r="F249" s="16">
        <v>95</v>
      </c>
    </row>
    <row r="250" spans="1:7" x14ac:dyDescent="0.2">
      <c r="A250" s="318"/>
      <c r="B250" s="13">
        <v>42710</v>
      </c>
      <c r="C250" s="27" t="s">
        <v>113</v>
      </c>
      <c r="D250" s="4" t="s">
        <v>177</v>
      </c>
      <c r="F250" s="16">
        <v>115</v>
      </c>
    </row>
    <row r="251" spans="1:7" x14ac:dyDescent="0.2">
      <c r="A251" s="14"/>
      <c r="B251" s="47">
        <v>42724</v>
      </c>
      <c r="C251" s="27" t="s">
        <v>113</v>
      </c>
      <c r="D251" s="12" t="s">
        <v>177</v>
      </c>
      <c r="F251" s="16">
        <v>66</v>
      </c>
    </row>
    <row r="252" spans="1:7" x14ac:dyDescent="0.2">
      <c r="A252" s="14"/>
      <c r="B252" s="47">
        <v>42738</v>
      </c>
      <c r="C252" s="27" t="s">
        <v>113</v>
      </c>
      <c r="D252" s="12" t="s">
        <v>177</v>
      </c>
      <c r="F252" s="16">
        <v>103</v>
      </c>
    </row>
    <row r="253" spans="1:7" x14ac:dyDescent="0.2">
      <c r="A253" s="14"/>
      <c r="B253" s="47">
        <v>42752</v>
      </c>
      <c r="C253" s="357" t="s">
        <v>113</v>
      </c>
      <c r="D253" s="4" t="s">
        <v>97</v>
      </c>
      <c r="F253" s="16">
        <v>83</v>
      </c>
    </row>
    <row r="254" spans="1:7" x14ac:dyDescent="0.2">
      <c r="A254" s="318"/>
      <c r="B254" s="47">
        <v>42773</v>
      </c>
      <c r="C254" s="27" t="s">
        <v>113</v>
      </c>
      <c r="D254" s="4" t="s">
        <v>177</v>
      </c>
      <c r="F254" s="16">
        <v>87</v>
      </c>
    </row>
    <row r="255" spans="1:7" x14ac:dyDescent="0.2">
      <c r="A255" s="14"/>
      <c r="B255" s="355">
        <v>42787</v>
      </c>
      <c r="C255" s="356" t="s">
        <v>113</v>
      </c>
      <c r="D255" s="4" t="s">
        <v>114</v>
      </c>
      <c r="F255" s="16">
        <v>93</v>
      </c>
    </row>
    <row r="256" spans="1:7" x14ac:dyDescent="0.2">
      <c r="A256" s="14"/>
      <c r="B256" s="358">
        <v>42801</v>
      </c>
      <c r="C256" s="356" t="s">
        <v>113</v>
      </c>
      <c r="D256" s="4" t="s">
        <v>97</v>
      </c>
      <c r="F256" s="16">
        <v>51</v>
      </c>
    </row>
    <row r="257" spans="1:6" x14ac:dyDescent="0.2">
      <c r="A257" s="14"/>
      <c r="B257" s="28">
        <v>42815</v>
      </c>
      <c r="C257" s="356" t="s">
        <v>113</v>
      </c>
      <c r="D257" s="4" t="s">
        <v>97</v>
      </c>
      <c r="F257" s="16">
        <v>82</v>
      </c>
    </row>
    <row r="258" spans="1:6" x14ac:dyDescent="0.2">
      <c r="A258" s="14"/>
      <c r="B258" s="358">
        <v>42843</v>
      </c>
      <c r="C258" s="356" t="s">
        <v>113</v>
      </c>
      <c r="D258" s="4" t="s">
        <v>97</v>
      </c>
      <c r="E258" s="16">
        <v>0</v>
      </c>
      <c r="F258" s="16">
        <v>108</v>
      </c>
    </row>
    <row r="259" spans="1:6" x14ac:dyDescent="0.2">
      <c r="A259" s="318"/>
      <c r="B259" s="47">
        <v>42857</v>
      </c>
      <c r="C259" s="27" t="s">
        <v>113</v>
      </c>
      <c r="D259" s="4" t="s">
        <v>97</v>
      </c>
      <c r="F259" s="16">
        <v>97</v>
      </c>
    </row>
    <row r="260" spans="1:6" x14ac:dyDescent="0.2">
      <c r="A260" s="318"/>
      <c r="B260" s="47">
        <v>42871</v>
      </c>
      <c r="C260" s="27" t="s">
        <v>113</v>
      </c>
      <c r="D260" s="4" t="s">
        <v>177</v>
      </c>
      <c r="F260" s="16">
        <v>112</v>
      </c>
    </row>
    <row r="261" spans="1:6" x14ac:dyDescent="0.2">
      <c r="A261" s="44"/>
      <c r="B261" s="363">
        <v>42892</v>
      </c>
      <c r="C261" s="357" t="s">
        <v>113</v>
      </c>
      <c r="D261" s="44" t="s">
        <v>97</v>
      </c>
      <c r="E261" s="16">
        <v>0</v>
      </c>
      <c r="F261" s="16">
        <v>59</v>
      </c>
    </row>
    <row r="262" spans="1:6" x14ac:dyDescent="0.2">
      <c r="A262" s="14"/>
      <c r="B262" s="47">
        <v>42619</v>
      </c>
      <c r="C262" s="27" t="s">
        <v>290</v>
      </c>
      <c r="D262" s="4" t="s">
        <v>607</v>
      </c>
      <c r="F262" s="16">
        <v>22</v>
      </c>
    </row>
    <row r="263" spans="1:6" x14ac:dyDescent="0.2">
      <c r="A263" s="14"/>
      <c r="B263" s="47">
        <v>42710</v>
      </c>
      <c r="C263" s="357" t="s">
        <v>47</v>
      </c>
      <c r="D263" s="4" t="s">
        <v>780</v>
      </c>
      <c r="F263" s="16">
        <v>17564</v>
      </c>
    </row>
    <row r="264" spans="1:6" x14ac:dyDescent="0.2">
      <c r="A264" s="14"/>
      <c r="B264" s="47">
        <v>42710</v>
      </c>
      <c r="C264" s="27" t="s">
        <v>47</v>
      </c>
      <c r="D264" s="4" t="s">
        <v>780</v>
      </c>
      <c r="F264" s="16">
        <v>8772.2099999999991</v>
      </c>
    </row>
    <row r="265" spans="1:6" x14ac:dyDescent="0.2">
      <c r="A265" s="318"/>
      <c r="B265" s="13">
        <v>42724</v>
      </c>
      <c r="C265" s="27" t="s">
        <v>47</v>
      </c>
      <c r="D265" s="4" t="s">
        <v>781</v>
      </c>
      <c r="F265" s="16">
        <v>9045.3799999999992</v>
      </c>
    </row>
    <row r="266" spans="1:6" x14ac:dyDescent="0.2">
      <c r="A266" s="318"/>
      <c r="B266" s="13">
        <v>42738</v>
      </c>
      <c r="C266" s="27" t="s">
        <v>47</v>
      </c>
      <c r="D266" s="4" t="s">
        <v>781</v>
      </c>
      <c r="F266" s="16">
        <v>8511</v>
      </c>
    </row>
    <row r="267" spans="1:6" x14ac:dyDescent="0.2">
      <c r="A267" s="318">
        <v>6995</v>
      </c>
      <c r="B267" s="47">
        <v>42752</v>
      </c>
      <c r="C267" s="27" t="s">
        <v>184</v>
      </c>
      <c r="D267" s="4" t="s">
        <v>782</v>
      </c>
      <c r="E267" s="16">
        <v>989</v>
      </c>
    </row>
    <row r="268" spans="1:6" x14ac:dyDescent="0.2">
      <c r="A268" s="14">
        <v>6915</v>
      </c>
      <c r="B268" s="47">
        <v>42598</v>
      </c>
      <c r="C268" s="27" t="s">
        <v>186</v>
      </c>
      <c r="D268" s="4" t="s">
        <v>628</v>
      </c>
      <c r="E268" s="16">
        <v>1000</v>
      </c>
    </row>
    <row r="269" spans="1:6" x14ac:dyDescent="0.2">
      <c r="A269" s="14">
        <v>6955</v>
      </c>
      <c r="B269" s="355">
        <v>42675</v>
      </c>
      <c r="C269" s="356" t="s">
        <v>487</v>
      </c>
      <c r="D269" s="4" t="s">
        <v>772</v>
      </c>
      <c r="E269" s="16">
        <v>2500</v>
      </c>
    </row>
    <row r="270" spans="1:6" x14ac:dyDescent="0.2">
      <c r="A270" s="318">
        <v>6928</v>
      </c>
      <c r="B270" s="47">
        <v>42619</v>
      </c>
      <c r="C270" s="27" t="s">
        <v>490</v>
      </c>
      <c r="D270" s="4" t="s">
        <v>783</v>
      </c>
      <c r="E270" s="16">
        <v>25</v>
      </c>
    </row>
    <row r="271" spans="1:6" x14ac:dyDescent="0.2">
      <c r="A271" s="318">
        <v>7037</v>
      </c>
      <c r="B271" s="13">
        <v>42815</v>
      </c>
      <c r="C271" s="27" t="s">
        <v>490</v>
      </c>
      <c r="D271" s="4" t="s">
        <v>784</v>
      </c>
      <c r="E271" s="16">
        <v>200</v>
      </c>
    </row>
    <row r="272" spans="1:6" x14ac:dyDescent="0.2">
      <c r="A272" s="14">
        <v>6953</v>
      </c>
      <c r="B272" s="47">
        <v>42661</v>
      </c>
      <c r="C272" s="27" t="s">
        <v>564</v>
      </c>
      <c r="D272" s="4" t="s">
        <v>785</v>
      </c>
      <c r="E272" s="16">
        <v>10000</v>
      </c>
    </row>
    <row r="273" spans="1:6" x14ac:dyDescent="0.2">
      <c r="A273" s="14">
        <v>6941</v>
      </c>
      <c r="B273" s="355">
        <v>42647</v>
      </c>
      <c r="C273" s="356" t="s">
        <v>565</v>
      </c>
      <c r="D273" s="15" t="s">
        <v>786</v>
      </c>
      <c r="E273" s="16">
        <v>108.08</v>
      </c>
    </row>
    <row r="274" spans="1:6" x14ac:dyDescent="0.2">
      <c r="A274" s="14">
        <v>6967</v>
      </c>
      <c r="B274" s="47">
        <v>42710</v>
      </c>
      <c r="C274" s="27" t="s">
        <v>565</v>
      </c>
      <c r="D274" s="4" t="s">
        <v>787</v>
      </c>
      <c r="E274" s="16">
        <v>41.51</v>
      </c>
    </row>
    <row r="275" spans="1:6" x14ac:dyDescent="0.2">
      <c r="A275" s="318">
        <v>6996</v>
      </c>
      <c r="B275" s="13">
        <v>42752</v>
      </c>
      <c r="C275" s="27" t="s">
        <v>565</v>
      </c>
      <c r="D275" s="4" t="s">
        <v>667</v>
      </c>
      <c r="E275" s="16">
        <v>250</v>
      </c>
    </row>
    <row r="276" spans="1:6" x14ac:dyDescent="0.2">
      <c r="A276" s="318">
        <v>7027</v>
      </c>
      <c r="B276" s="13">
        <v>42801</v>
      </c>
      <c r="C276" s="27" t="s">
        <v>565</v>
      </c>
      <c r="D276" s="4" t="s">
        <v>667</v>
      </c>
      <c r="E276" s="16">
        <v>305.26</v>
      </c>
    </row>
    <row r="277" spans="1:6" x14ac:dyDescent="0.2">
      <c r="A277" s="14">
        <v>7058</v>
      </c>
      <c r="B277" s="28">
        <v>42857</v>
      </c>
      <c r="C277" s="356" t="s">
        <v>565</v>
      </c>
      <c r="D277" s="4" t="s">
        <v>667</v>
      </c>
      <c r="E277" s="16">
        <v>8.99</v>
      </c>
    </row>
    <row r="278" spans="1:6" x14ac:dyDescent="0.2">
      <c r="A278" s="318">
        <v>7064</v>
      </c>
      <c r="B278" s="13">
        <v>42857</v>
      </c>
      <c r="C278" s="27" t="s">
        <v>565</v>
      </c>
      <c r="D278" s="4" t="s">
        <v>667</v>
      </c>
      <c r="E278" s="16">
        <v>302.3</v>
      </c>
    </row>
    <row r="279" spans="1:6" x14ac:dyDescent="0.2">
      <c r="A279" s="14">
        <v>7074</v>
      </c>
      <c r="B279" s="47">
        <v>42871</v>
      </c>
      <c r="C279" s="27" t="s">
        <v>565</v>
      </c>
      <c r="D279" s="4" t="s">
        <v>788</v>
      </c>
      <c r="E279" s="16">
        <v>66.41</v>
      </c>
      <c r="F279" s="16">
        <v>0</v>
      </c>
    </row>
    <row r="280" spans="1:6" x14ac:dyDescent="0.2">
      <c r="A280" s="318">
        <v>6920</v>
      </c>
      <c r="B280" s="47">
        <v>42619</v>
      </c>
      <c r="C280" s="27" t="s">
        <v>566</v>
      </c>
      <c r="D280" s="4" t="s">
        <v>480</v>
      </c>
      <c r="E280" s="16">
        <v>643.5</v>
      </c>
    </row>
    <row r="281" spans="1:6" x14ac:dyDescent="0.2">
      <c r="A281" s="318">
        <v>6944</v>
      </c>
      <c r="B281" s="13">
        <v>42661</v>
      </c>
      <c r="C281" s="27" t="s">
        <v>566</v>
      </c>
      <c r="D281" s="4" t="s">
        <v>480</v>
      </c>
      <c r="E281" s="16">
        <v>11.59</v>
      </c>
    </row>
    <row r="282" spans="1:6" x14ac:dyDescent="0.2">
      <c r="A282" s="14">
        <v>7039</v>
      </c>
      <c r="B282" s="47">
        <v>42829</v>
      </c>
      <c r="C282" s="27" t="s">
        <v>566</v>
      </c>
      <c r="D282" s="4" t="s">
        <v>480</v>
      </c>
      <c r="E282" s="16">
        <v>31.79</v>
      </c>
    </row>
    <row r="283" spans="1:6" x14ac:dyDescent="0.2">
      <c r="A283" s="14">
        <v>6905</v>
      </c>
      <c r="B283" s="47">
        <v>42570</v>
      </c>
      <c r="C283" s="27" t="s">
        <v>567</v>
      </c>
      <c r="D283" s="4" t="s">
        <v>789</v>
      </c>
      <c r="E283" s="16">
        <v>62.38</v>
      </c>
    </row>
    <row r="284" spans="1:6" x14ac:dyDescent="0.2">
      <c r="A284" s="318">
        <v>6985</v>
      </c>
      <c r="B284" s="13">
        <v>42738</v>
      </c>
      <c r="C284" s="27" t="s">
        <v>568</v>
      </c>
      <c r="D284" s="4" t="s">
        <v>790</v>
      </c>
      <c r="E284" s="16">
        <v>55.04</v>
      </c>
    </row>
    <row r="285" spans="1:6" x14ac:dyDescent="0.2">
      <c r="A285" s="14">
        <v>7005</v>
      </c>
      <c r="B285" s="47">
        <v>42773</v>
      </c>
      <c r="C285" s="27" t="s">
        <v>568</v>
      </c>
      <c r="D285" s="4" t="s">
        <v>791</v>
      </c>
      <c r="E285" s="16">
        <v>143.51</v>
      </c>
    </row>
    <row r="286" spans="1:6" x14ac:dyDescent="0.2">
      <c r="A286" s="14">
        <v>7043</v>
      </c>
      <c r="B286" s="47">
        <v>42829</v>
      </c>
      <c r="C286" s="27" t="s">
        <v>568</v>
      </c>
      <c r="D286" s="4" t="s">
        <v>792</v>
      </c>
      <c r="E286" s="16">
        <v>500</v>
      </c>
    </row>
    <row r="287" spans="1:6" x14ac:dyDescent="0.2">
      <c r="A287" s="14">
        <v>7053</v>
      </c>
      <c r="B287" s="47">
        <v>42843</v>
      </c>
      <c r="C287" s="27" t="s">
        <v>568</v>
      </c>
      <c r="D287" s="4" t="s">
        <v>793</v>
      </c>
      <c r="E287" s="16">
        <v>650</v>
      </c>
    </row>
    <row r="288" spans="1:6" x14ac:dyDescent="0.2">
      <c r="A288" s="14"/>
      <c r="B288" s="28">
        <v>42570</v>
      </c>
      <c r="C288" s="356" t="s">
        <v>569</v>
      </c>
      <c r="D288" s="4" t="s">
        <v>794</v>
      </c>
      <c r="E288" s="16">
        <v>8</v>
      </c>
    </row>
    <row r="289" spans="1:5" x14ac:dyDescent="0.2">
      <c r="A289" s="14"/>
      <c r="B289" s="28">
        <v>42598</v>
      </c>
      <c r="C289" s="27" t="s">
        <v>569</v>
      </c>
      <c r="D289" s="4" t="s">
        <v>794</v>
      </c>
      <c r="E289" s="16">
        <v>3</v>
      </c>
    </row>
    <row r="290" spans="1:5" x14ac:dyDescent="0.2">
      <c r="A290" s="14"/>
      <c r="B290" s="28">
        <v>42619</v>
      </c>
      <c r="C290" s="27" t="s">
        <v>569</v>
      </c>
      <c r="D290" s="4" t="s">
        <v>794</v>
      </c>
      <c r="E290" s="16">
        <v>2</v>
      </c>
    </row>
    <row r="291" spans="1:5" x14ac:dyDescent="0.2">
      <c r="A291" s="14">
        <v>6903</v>
      </c>
      <c r="B291" s="28">
        <v>42570</v>
      </c>
      <c r="C291" s="27" t="s">
        <v>190</v>
      </c>
      <c r="D291" s="4" t="s">
        <v>795</v>
      </c>
      <c r="E291" s="16">
        <v>658.53</v>
      </c>
    </row>
    <row r="292" spans="1:5" x14ac:dyDescent="0.2">
      <c r="A292" s="14">
        <v>6903</v>
      </c>
      <c r="B292" s="28">
        <v>42570</v>
      </c>
      <c r="C292" s="357" t="s">
        <v>522</v>
      </c>
      <c r="D292" s="4" t="s">
        <v>604</v>
      </c>
      <c r="E292" s="16">
        <v>374.73</v>
      </c>
    </row>
    <row r="293" spans="1:5" x14ac:dyDescent="0.2">
      <c r="A293" s="14">
        <v>6912</v>
      </c>
      <c r="B293" s="47">
        <v>42598</v>
      </c>
      <c r="C293" s="27" t="s">
        <v>522</v>
      </c>
      <c r="D293" s="4" t="s">
        <v>604</v>
      </c>
      <c r="E293" s="16">
        <v>126.23</v>
      </c>
    </row>
    <row r="294" spans="1:5" x14ac:dyDescent="0.2">
      <c r="A294" s="318">
        <v>6923</v>
      </c>
      <c r="B294" s="13">
        <v>42619</v>
      </c>
      <c r="C294" s="27" t="s">
        <v>522</v>
      </c>
      <c r="D294" s="4" t="s">
        <v>604</v>
      </c>
      <c r="E294" s="16">
        <v>177.73</v>
      </c>
    </row>
    <row r="295" spans="1:5" x14ac:dyDescent="0.2">
      <c r="A295" s="318">
        <v>6924</v>
      </c>
      <c r="B295" s="13">
        <v>42619</v>
      </c>
      <c r="C295" s="27" t="s">
        <v>522</v>
      </c>
      <c r="D295" s="4" t="s">
        <v>604</v>
      </c>
      <c r="E295" s="16">
        <v>79.650000000000006</v>
      </c>
    </row>
    <row r="296" spans="1:5" x14ac:dyDescent="0.2">
      <c r="A296" s="14">
        <v>6946</v>
      </c>
      <c r="B296" s="47">
        <v>42661</v>
      </c>
      <c r="C296" s="27" t="s">
        <v>522</v>
      </c>
      <c r="D296" s="4" t="s">
        <v>604</v>
      </c>
      <c r="E296" s="16">
        <v>51.98</v>
      </c>
    </row>
    <row r="297" spans="1:5" x14ac:dyDescent="0.2">
      <c r="A297" s="14">
        <v>6959</v>
      </c>
      <c r="B297" s="355">
        <v>42675</v>
      </c>
      <c r="C297" s="356" t="s">
        <v>522</v>
      </c>
      <c r="D297" s="15" t="s">
        <v>604</v>
      </c>
      <c r="E297" s="16">
        <v>63.42</v>
      </c>
    </row>
    <row r="298" spans="1:5" x14ac:dyDescent="0.2">
      <c r="A298" s="318">
        <v>9667</v>
      </c>
      <c r="B298" s="47">
        <v>42752</v>
      </c>
      <c r="C298" s="27" t="s">
        <v>522</v>
      </c>
      <c r="D298" s="4" t="s">
        <v>604</v>
      </c>
      <c r="E298" s="16">
        <v>15.99</v>
      </c>
    </row>
    <row r="299" spans="1:5" x14ac:dyDescent="0.2">
      <c r="A299" s="318">
        <v>7004</v>
      </c>
      <c r="B299" s="13">
        <v>42773</v>
      </c>
      <c r="C299" s="27" t="s">
        <v>522</v>
      </c>
      <c r="D299" s="4" t="s">
        <v>604</v>
      </c>
      <c r="E299" s="16">
        <v>9.7799999999999994</v>
      </c>
    </row>
    <row r="300" spans="1:5" x14ac:dyDescent="0.2">
      <c r="A300" s="318">
        <v>7020</v>
      </c>
      <c r="B300" s="13">
        <v>42801</v>
      </c>
      <c r="C300" s="27" t="s">
        <v>522</v>
      </c>
      <c r="D300" s="4" t="s">
        <v>604</v>
      </c>
      <c r="E300" s="16">
        <v>10</v>
      </c>
    </row>
    <row r="301" spans="1:5" x14ac:dyDescent="0.2">
      <c r="A301" s="14">
        <v>7040</v>
      </c>
      <c r="B301" s="47">
        <v>42829</v>
      </c>
      <c r="C301" s="27" t="s">
        <v>522</v>
      </c>
      <c r="D301" s="4" t="s">
        <v>796</v>
      </c>
      <c r="E301" s="16">
        <v>157.9</v>
      </c>
    </row>
    <row r="302" spans="1:5" x14ac:dyDescent="0.2">
      <c r="A302" s="318">
        <v>6913</v>
      </c>
      <c r="B302" s="47">
        <v>42598</v>
      </c>
      <c r="C302" s="27" t="s">
        <v>85</v>
      </c>
      <c r="D302" s="4" t="s">
        <v>797</v>
      </c>
      <c r="E302" s="16">
        <v>95</v>
      </c>
    </row>
    <row r="303" spans="1:5" x14ac:dyDescent="0.2">
      <c r="A303" s="14">
        <v>6911</v>
      </c>
      <c r="B303" s="47">
        <v>42598</v>
      </c>
      <c r="C303" s="27" t="s">
        <v>88</v>
      </c>
      <c r="D303" s="4" t="s">
        <v>798</v>
      </c>
      <c r="E303" s="16">
        <v>35.799999999999997</v>
      </c>
    </row>
    <row r="304" spans="1:5" x14ac:dyDescent="0.2">
      <c r="A304" s="318">
        <v>7001</v>
      </c>
      <c r="B304" s="13">
        <v>42752</v>
      </c>
      <c r="C304" s="27" t="s">
        <v>88</v>
      </c>
      <c r="D304" s="4" t="s">
        <v>528</v>
      </c>
      <c r="E304" s="16">
        <v>39.770000000000003</v>
      </c>
    </row>
    <row r="305" spans="1:6" x14ac:dyDescent="0.2">
      <c r="A305" s="14">
        <v>7008</v>
      </c>
      <c r="B305" s="355">
        <v>42773</v>
      </c>
      <c r="C305" s="356" t="s">
        <v>88</v>
      </c>
      <c r="D305" s="4" t="s">
        <v>528</v>
      </c>
      <c r="E305" s="16">
        <v>348.93</v>
      </c>
    </row>
    <row r="306" spans="1:6" x14ac:dyDescent="0.2">
      <c r="A306" s="318">
        <v>7021</v>
      </c>
      <c r="B306" s="13">
        <v>42801</v>
      </c>
      <c r="C306" s="27" t="s">
        <v>88</v>
      </c>
      <c r="D306" s="4" t="s">
        <v>528</v>
      </c>
      <c r="E306" s="16">
        <v>98</v>
      </c>
    </row>
    <row r="307" spans="1:6" x14ac:dyDescent="0.2">
      <c r="A307" s="14">
        <v>7046</v>
      </c>
      <c r="B307" s="28">
        <v>42843</v>
      </c>
      <c r="C307" s="27" t="s">
        <v>88</v>
      </c>
      <c r="D307" s="4" t="s">
        <v>528</v>
      </c>
      <c r="E307" s="16">
        <v>147.80000000000001</v>
      </c>
    </row>
    <row r="308" spans="1:6" x14ac:dyDescent="0.2">
      <c r="A308" s="318">
        <v>7049</v>
      </c>
      <c r="B308" s="13">
        <v>42843</v>
      </c>
      <c r="C308" s="27" t="s">
        <v>88</v>
      </c>
      <c r="D308" s="4" t="s">
        <v>799</v>
      </c>
      <c r="E308" s="16">
        <v>134</v>
      </c>
    </row>
    <row r="309" spans="1:6" x14ac:dyDescent="0.2">
      <c r="A309" s="14">
        <v>6902</v>
      </c>
      <c r="B309" s="28">
        <v>42570</v>
      </c>
      <c r="C309" s="357" t="s">
        <v>530</v>
      </c>
      <c r="D309" s="4" t="s">
        <v>800</v>
      </c>
      <c r="E309" s="16">
        <v>40.17</v>
      </c>
    </row>
    <row r="310" spans="1:6" x14ac:dyDescent="0.2">
      <c r="A310" s="318">
        <v>6922</v>
      </c>
      <c r="B310" s="13">
        <v>42619</v>
      </c>
      <c r="C310" s="27" t="s">
        <v>530</v>
      </c>
      <c r="D310" s="4" t="s">
        <v>800</v>
      </c>
      <c r="E310" s="16">
        <v>39.659999999999997</v>
      </c>
    </row>
    <row r="311" spans="1:6" x14ac:dyDescent="0.2">
      <c r="A311" s="14">
        <v>6935</v>
      </c>
      <c r="B311" s="47">
        <v>42635</v>
      </c>
      <c r="C311" s="27" t="s">
        <v>530</v>
      </c>
      <c r="D311" s="4" t="s">
        <v>801</v>
      </c>
      <c r="E311" s="16">
        <v>45.67</v>
      </c>
    </row>
    <row r="312" spans="1:6" x14ac:dyDescent="0.2">
      <c r="A312" s="318">
        <v>6945</v>
      </c>
      <c r="B312" s="47">
        <v>42661</v>
      </c>
      <c r="C312" s="27" t="s">
        <v>530</v>
      </c>
      <c r="D312" s="4" t="s">
        <v>802</v>
      </c>
      <c r="E312" s="16">
        <v>45.9</v>
      </c>
    </row>
    <row r="313" spans="1:6" x14ac:dyDescent="0.2">
      <c r="A313" s="14">
        <v>6960</v>
      </c>
      <c r="B313" s="47">
        <v>42689</v>
      </c>
      <c r="C313" s="27" t="s">
        <v>530</v>
      </c>
      <c r="D313" s="4" t="s">
        <v>629</v>
      </c>
      <c r="E313" s="16">
        <v>40.93</v>
      </c>
    </row>
    <row r="314" spans="1:6" x14ac:dyDescent="0.2">
      <c r="A314" s="318">
        <v>6981</v>
      </c>
      <c r="B314" s="47">
        <v>42724</v>
      </c>
      <c r="C314" s="27" t="s">
        <v>530</v>
      </c>
      <c r="D314" s="4" t="s">
        <v>802</v>
      </c>
      <c r="E314" s="16">
        <v>41.55</v>
      </c>
    </row>
    <row r="315" spans="1:6" x14ac:dyDescent="0.2">
      <c r="A315" s="14">
        <v>6993</v>
      </c>
      <c r="B315" s="47">
        <v>42752</v>
      </c>
      <c r="C315" s="27" t="s">
        <v>530</v>
      </c>
      <c r="D315" s="4" t="s">
        <v>802</v>
      </c>
      <c r="E315" s="16">
        <v>40.69</v>
      </c>
    </row>
    <row r="316" spans="1:6" x14ac:dyDescent="0.2">
      <c r="A316" s="318">
        <v>7029</v>
      </c>
      <c r="B316" s="13">
        <v>42815</v>
      </c>
      <c r="C316" s="27" t="s">
        <v>530</v>
      </c>
      <c r="D316" s="4" t="s">
        <v>802</v>
      </c>
      <c r="E316" s="16">
        <v>86.51</v>
      </c>
    </row>
    <row r="317" spans="1:6" x14ac:dyDescent="0.2">
      <c r="A317" s="14">
        <v>7048</v>
      </c>
      <c r="B317" s="28">
        <v>42843</v>
      </c>
      <c r="C317" s="27" t="s">
        <v>530</v>
      </c>
      <c r="D317" s="4" t="s">
        <v>802</v>
      </c>
      <c r="E317" s="16">
        <v>41.6</v>
      </c>
    </row>
    <row r="318" spans="1:6" x14ac:dyDescent="0.2">
      <c r="A318" s="14">
        <v>7069</v>
      </c>
      <c r="B318" s="47">
        <v>42871</v>
      </c>
      <c r="C318" s="27" t="s">
        <v>530</v>
      </c>
      <c r="D318" s="4" t="s">
        <v>629</v>
      </c>
      <c r="E318" s="16">
        <v>41.32</v>
      </c>
      <c r="F318" s="16">
        <v>0</v>
      </c>
    </row>
    <row r="319" spans="1:6" x14ac:dyDescent="0.2">
      <c r="A319" s="14">
        <v>9604</v>
      </c>
      <c r="B319" s="47">
        <v>42570</v>
      </c>
      <c r="C319" s="27" t="s">
        <v>533</v>
      </c>
      <c r="D319" s="4" t="s">
        <v>803</v>
      </c>
      <c r="E319" s="16">
        <v>517.96</v>
      </c>
    </row>
    <row r="320" spans="1:6" x14ac:dyDescent="0.2">
      <c r="A320" s="318">
        <v>6916</v>
      </c>
      <c r="B320" s="13">
        <v>42598</v>
      </c>
      <c r="C320" s="27" t="s">
        <v>533</v>
      </c>
      <c r="D320" s="4" t="s">
        <v>804</v>
      </c>
      <c r="E320" s="16">
        <v>500</v>
      </c>
    </row>
    <row r="321" spans="1:5" x14ac:dyDescent="0.2">
      <c r="A321" s="318">
        <v>6926</v>
      </c>
      <c r="B321" s="13">
        <v>42619</v>
      </c>
      <c r="C321" s="27" t="s">
        <v>533</v>
      </c>
      <c r="D321" s="4" t="s">
        <v>805</v>
      </c>
      <c r="E321" s="16">
        <v>0</v>
      </c>
    </row>
    <row r="322" spans="1:5" x14ac:dyDescent="0.2">
      <c r="A322" s="318">
        <v>6929</v>
      </c>
      <c r="B322" s="47">
        <v>42619</v>
      </c>
      <c r="C322" s="27" t="s">
        <v>533</v>
      </c>
      <c r="D322" s="4" t="s">
        <v>806</v>
      </c>
      <c r="E322" s="16">
        <v>250</v>
      </c>
    </row>
    <row r="323" spans="1:5" x14ac:dyDescent="0.2">
      <c r="A323" s="318">
        <v>6930</v>
      </c>
      <c r="B323" s="47">
        <v>42619</v>
      </c>
      <c r="C323" s="27" t="s">
        <v>533</v>
      </c>
      <c r="D323" s="4" t="s">
        <v>807</v>
      </c>
      <c r="E323" s="16">
        <v>1000</v>
      </c>
    </row>
    <row r="324" spans="1:5" x14ac:dyDescent="0.2">
      <c r="A324" s="14">
        <v>6931</v>
      </c>
      <c r="B324" s="47">
        <v>42619</v>
      </c>
      <c r="C324" s="27" t="s">
        <v>533</v>
      </c>
      <c r="D324" s="12" t="s">
        <v>808</v>
      </c>
      <c r="E324" s="16">
        <v>500</v>
      </c>
    </row>
    <row r="325" spans="1:5" x14ac:dyDescent="0.2">
      <c r="A325" s="14">
        <v>6948</v>
      </c>
      <c r="B325" s="47">
        <v>42661</v>
      </c>
      <c r="C325" s="27" t="s">
        <v>533</v>
      </c>
      <c r="D325" s="4" t="s">
        <v>809</v>
      </c>
      <c r="E325" s="16">
        <v>199.31</v>
      </c>
    </row>
    <row r="326" spans="1:5" x14ac:dyDescent="0.2">
      <c r="A326" s="14">
        <v>6971</v>
      </c>
      <c r="B326" s="28">
        <v>42710</v>
      </c>
      <c r="C326" s="356" t="s">
        <v>533</v>
      </c>
      <c r="D326" s="4" t="s">
        <v>810</v>
      </c>
      <c r="E326" s="16">
        <v>1300</v>
      </c>
    </row>
    <row r="327" spans="1:5" x14ac:dyDescent="0.2">
      <c r="A327" s="14">
        <v>6979</v>
      </c>
      <c r="B327" s="28">
        <v>42724</v>
      </c>
      <c r="C327" s="356" t="s">
        <v>533</v>
      </c>
      <c r="D327" s="4" t="s">
        <v>811</v>
      </c>
      <c r="E327" s="16">
        <v>500</v>
      </c>
    </row>
    <row r="328" spans="1:5" x14ac:dyDescent="0.2">
      <c r="A328" s="14">
        <v>6990</v>
      </c>
      <c r="B328" s="47">
        <v>42738</v>
      </c>
      <c r="C328" s="27" t="s">
        <v>533</v>
      </c>
      <c r="D328" s="4" t="s">
        <v>761</v>
      </c>
      <c r="E328" s="16">
        <v>50</v>
      </c>
    </row>
    <row r="329" spans="1:5" x14ac:dyDescent="0.2">
      <c r="A329" s="14">
        <v>7009</v>
      </c>
      <c r="B329" s="47">
        <v>42773</v>
      </c>
      <c r="C329" s="27" t="s">
        <v>533</v>
      </c>
      <c r="D329" s="4" t="s">
        <v>812</v>
      </c>
      <c r="E329" s="16">
        <v>370</v>
      </c>
    </row>
    <row r="330" spans="1:5" x14ac:dyDescent="0.2">
      <c r="A330" s="318">
        <v>6983</v>
      </c>
      <c r="B330" s="47">
        <v>42724</v>
      </c>
      <c r="C330" s="27" t="s">
        <v>193</v>
      </c>
      <c r="D330" s="4" t="s">
        <v>519</v>
      </c>
      <c r="E330" s="16">
        <v>99</v>
      </c>
    </row>
    <row r="331" spans="1:5" x14ac:dyDescent="0.2">
      <c r="A331" s="318">
        <v>7038</v>
      </c>
      <c r="B331" s="13">
        <v>42829</v>
      </c>
      <c r="C331" s="27" t="s">
        <v>193</v>
      </c>
      <c r="D331" s="4" t="s">
        <v>519</v>
      </c>
      <c r="E331" s="16">
        <v>227.29</v>
      </c>
    </row>
    <row r="332" spans="1:5" x14ac:dyDescent="0.2">
      <c r="A332" s="318">
        <v>6911</v>
      </c>
      <c r="B332" s="47">
        <v>42598</v>
      </c>
      <c r="C332" s="27" t="s">
        <v>91</v>
      </c>
      <c r="D332" s="4" t="s">
        <v>813</v>
      </c>
      <c r="E332" s="16">
        <v>480</v>
      </c>
    </row>
    <row r="333" spans="1:5" x14ac:dyDescent="0.2">
      <c r="A333" s="14">
        <v>6934</v>
      </c>
      <c r="B333" s="47">
        <v>42635</v>
      </c>
      <c r="C333" s="27" t="s">
        <v>91</v>
      </c>
      <c r="D333" s="4" t="s">
        <v>814</v>
      </c>
      <c r="E333" s="16">
        <v>56.25</v>
      </c>
    </row>
    <row r="334" spans="1:5" x14ac:dyDescent="0.2">
      <c r="A334" s="14">
        <v>6934</v>
      </c>
      <c r="B334" s="47">
        <v>42635</v>
      </c>
      <c r="C334" s="27" t="s">
        <v>91</v>
      </c>
      <c r="D334" s="4" t="s">
        <v>815</v>
      </c>
      <c r="E334" s="16">
        <v>272.85000000000002</v>
      </c>
    </row>
    <row r="335" spans="1:5" x14ac:dyDescent="0.2">
      <c r="A335" s="14">
        <v>6934</v>
      </c>
      <c r="B335" s="47">
        <v>42635</v>
      </c>
      <c r="C335" s="27" t="s">
        <v>91</v>
      </c>
      <c r="D335" s="4" t="s">
        <v>815</v>
      </c>
      <c r="E335" s="16">
        <v>203.2</v>
      </c>
    </row>
    <row r="336" spans="1:5" x14ac:dyDescent="0.2">
      <c r="A336" s="14">
        <v>6978</v>
      </c>
      <c r="B336" s="355">
        <v>42724</v>
      </c>
      <c r="C336" s="356" t="s">
        <v>91</v>
      </c>
      <c r="D336" s="4" t="s">
        <v>816</v>
      </c>
      <c r="E336" s="16">
        <v>84.65</v>
      </c>
    </row>
    <row r="337" spans="1:6" x14ac:dyDescent="0.2">
      <c r="A337" s="318">
        <v>7012</v>
      </c>
      <c r="B337" s="47">
        <v>42787</v>
      </c>
      <c r="C337" s="27" t="s">
        <v>91</v>
      </c>
      <c r="D337" s="4" t="s">
        <v>816</v>
      </c>
      <c r="E337" s="16">
        <v>110.8</v>
      </c>
    </row>
    <row r="338" spans="1:6" x14ac:dyDescent="0.2">
      <c r="A338" s="318">
        <v>7024</v>
      </c>
      <c r="B338" s="13">
        <v>42801</v>
      </c>
      <c r="C338" s="27" t="s">
        <v>91</v>
      </c>
      <c r="D338" s="4" t="s">
        <v>816</v>
      </c>
      <c r="E338" s="16">
        <v>52.61</v>
      </c>
    </row>
    <row r="339" spans="1:6" x14ac:dyDescent="0.2">
      <c r="A339" s="14">
        <v>7072</v>
      </c>
      <c r="B339" s="47">
        <v>42871</v>
      </c>
      <c r="C339" s="27" t="s">
        <v>91</v>
      </c>
      <c r="D339" s="4" t="s">
        <v>817</v>
      </c>
      <c r="E339" s="16">
        <v>7.37</v>
      </c>
      <c r="F339" s="16">
        <v>0</v>
      </c>
    </row>
    <row r="340" spans="1:6" x14ac:dyDescent="0.2">
      <c r="A340" s="14">
        <v>6932</v>
      </c>
      <c r="B340" s="47">
        <v>42635</v>
      </c>
      <c r="C340" s="27" t="s">
        <v>51</v>
      </c>
      <c r="D340" s="4" t="s">
        <v>818</v>
      </c>
      <c r="E340" s="16">
        <v>100.66</v>
      </c>
    </row>
    <row r="341" spans="1:6" x14ac:dyDescent="0.2">
      <c r="A341" s="318">
        <v>6987</v>
      </c>
      <c r="B341" s="47">
        <v>42738</v>
      </c>
      <c r="C341" s="27" t="s">
        <v>51</v>
      </c>
      <c r="D341" s="4" t="s">
        <v>819</v>
      </c>
      <c r="E341" s="16">
        <v>24</v>
      </c>
    </row>
    <row r="342" spans="1:6" x14ac:dyDescent="0.2">
      <c r="A342" s="14">
        <v>6988</v>
      </c>
      <c r="B342" s="47">
        <v>42738</v>
      </c>
      <c r="C342" s="27" t="s">
        <v>51</v>
      </c>
      <c r="D342" s="4" t="s">
        <v>766</v>
      </c>
      <c r="E342" s="16">
        <v>48</v>
      </c>
    </row>
    <row r="343" spans="1:6" x14ac:dyDescent="0.2">
      <c r="A343" s="318">
        <v>7003</v>
      </c>
      <c r="B343" s="13">
        <v>42773</v>
      </c>
      <c r="C343" s="27" t="s">
        <v>51</v>
      </c>
      <c r="D343" s="4" t="s">
        <v>820</v>
      </c>
      <c r="E343" s="16">
        <v>96</v>
      </c>
    </row>
    <row r="344" spans="1:6" x14ac:dyDescent="0.2">
      <c r="A344" s="14">
        <v>7041</v>
      </c>
      <c r="B344" s="47">
        <v>42829</v>
      </c>
      <c r="C344" s="357" t="s">
        <v>51</v>
      </c>
      <c r="D344" s="4" t="s">
        <v>821</v>
      </c>
      <c r="E344" s="16">
        <v>225.62</v>
      </c>
    </row>
    <row r="345" spans="1:6" x14ac:dyDescent="0.2">
      <c r="A345" s="318">
        <v>6903</v>
      </c>
      <c r="B345" s="13">
        <v>42570</v>
      </c>
      <c r="C345" s="27" t="s">
        <v>197</v>
      </c>
      <c r="D345" s="4" t="s">
        <v>191</v>
      </c>
      <c r="E345" s="16">
        <v>450</v>
      </c>
    </row>
    <row r="346" spans="1:6" x14ac:dyDescent="0.2">
      <c r="A346" s="318">
        <v>6997</v>
      </c>
      <c r="B346" s="47">
        <v>42752</v>
      </c>
      <c r="C346" s="27" t="s">
        <v>197</v>
      </c>
      <c r="D346" s="4" t="s">
        <v>822</v>
      </c>
      <c r="E346" s="16">
        <v>483.99</v>
      </c>
    </row>
    <row r="347" spans="1:6" x14ac:dyDescent="0.2">
      <c r="A347" s="14">
        <v>6903</v>
      </c>
      <c r="B347" s="358">
        <v>42570</v>
      </c>
      <c r="C347" s="356" t="s">
        <v>209</v>
      </c>
      <c r="D347" s="4" t="s">
        <v>823</v>
      </c>
      <c r="E347" s="16">
        <v>244</v>
      </c>
    </row>
    <row r="348" spans="1:6" x14ac:dyDescent="0.2">
      <c r="A348" s="14">
        <v>6909</v>
      </c>
      <c r="B348" s="47">
        <v>42569</v>
      </c>
      <c r="C348" s="27" t="s">
        <v>507</v>
      </c>
      <c r="D348" s="4" t="s">
        <v>824</v>
      </c>
      <c r="E348" s="16">
        <v>1877.68</v>
      </c>
    </row>
    <row r="349" spans="1:6" x14ac:dyDescent="0.2">
      <c r="A349" s="14">
        <v>7071</v>
      </c>
      <c r="B349" s="47">
        <v>42871</v>
      </c>
      <c r="C349" s="27" t="s">
        <v>100</v>
      </c>
      <c r="D349" s="4" t="s">
        <v>825</v>
      </c>
      <c r="E349" s="16">
        <v>1631</v>
      </c>
      <c r="F349" s="16">
        <v>0</v>
      </c>
    </row>
    <row r="350" spans="1:6" x14ac:dyDescent="0.2">
      <c r="A350" s="14">
        <v>6911</v>
      </c>
      <c r="B350" s="28">
        <v>42598</v>
      </c>
      <c r="C350" s="27" t="s">
        <v>119</v>
      </c>
      <c r="D350" s="4" t="s">
        <v>826</v>
      </c>
      <c r="E350" s="16">
        <v>25</v>
      </c>
    </row>
    <row r="351" spans="1:6" x14ac:dyDescent="0.2">
      <c r="A351" s="318">
        <v>7022</v>
      </c>
      <c r="B351" s="13">
        <v>42801</v>
      </c>
      <c r="C351" s="27" t="s">
        <v>119</v>
      </c>
      <c r="D351" s="4" t="s">
        <v>827</v>
      </c>
      <c r="E351" s="16">
        <v>90</v>
      </c>
    </row>
    <row r="352" spans="1:6" x14ac:dyDescent="0.2">
      <c r="A352" s="14">
        <v>7042</v>
      </c>
      <c r="B352" s="47">
        <v>42829</v>
      </c>
      <c r="C352" s="27" t="s">
        <v>119</v>
      </c>
      <c r="D352" s="4" t="s">
        <v>828</v>
      </c>
      <c r="E352" s="16">
        <v>32</v>
      </c>
    </row>
    <row r="353" spans="1:5" x14ac:dyDescent="0.2">
      <c r="A353" s="14">
        <v>6940</v>
      </c>
      <c r="B353" s="355">
        <v>42647</v>
      </c>
      <c r="C353" s="356" t="s">
        <v>518</v>
      </c>
      <c r="D353" s="4" t="s">
        <v>526</v>
      </c>
      <c r="E353" s="16">
        <v>334</v>
      </c>
    </row>
    <row r="354" spans="1:5" x14ac:dyDescent="0.2">
      <c r="A354" s="318">
        <v>6921</v>
      </c>
      <c r="B354" s="47">
        <v>42619</v>
      </c>
      <c r="C354" s="27" t="s">
        <v>570</v>
      </c>
      <c r="D354" s="4" t="s">
        <v>97</v>
      </c>
      <c r="E354" s="16">
        <v>206.16</v>
      </c>
    </row>
    <row r="355" spans="1:5" x14ac:dyDescent="0.2">
      <c r="A355" s="14">
        <v>6942</v>
      </c>
      <c r="B355" s="355">
        <v>42647</v>
      </c>
      <c r="C355" s="27" t="s">
        <v>570</v>
      </c>
      <c r="D355" s="15" t="s">
        <v>97</v>
      </c>
      <c r="E355" s="16">
        <v>78.67</v>
      </c>
    </row>
    <row r="356" spans="1:5" x14ac:dyDescent="0.2">
      <c r="A356" s="318">
        <v>6947</v>
      </c>
      <c r="B356" s="47">
        <v>42661</v>
      </c>
      <c r="C356" s="27" t="s">
        <v>570</v>
      </c>
      <c r="D356" s="4" t="s">
        <v>97</v>
      </c>
      <c r="E356" s="16">
        <v>113.66</v>
      </c>
    </row>
    <row r="357" spans="1:5" x14ac:dyDescent="0.2">
      <c r="A357" s="318">
        <v>6956</v>
      </c>
      <c r="B357" s="47">
        <v>42675</v>
      </c>
      <c r="C357" s="27" t="s">
        <v>570</v>
      </c>
      <c r="D357" s="4" t="s">
        <v>97</v>
      </c>
      <c r="E357" s="16">
        <v>158.57</v>
      </c>
    </row>
    <row r="358" spans="1:5" x14ac:dyDescent="0.2">
      <c r="A358" s="14">
        <v>6969</v>
      </c>
      <c r="B358" s="47">
        <v>42710</v>
      </c>
      <c r="C358" s="27" t="s">
        <v>570</v>
      </c>
      <c r="D358" s="12" t="s">
        <v>177</v>
      </c>
      <c r="E358" s="16">
        <v>154.16999999999999</v>
      </c>
    </row>
    <row r="359" spans="1:5" x14ac:dyDescent="0.2">
      <c r="A359" s="14">
        <v>6975</v>
      </c>
      <c r="B359" s="47">
        <v>42710</v>
      </c>
      <c r="C359" s="27" t="s">
        <v>570</v>
      </c>
      <c r="D359" s="4" t="s">
        <v>177</v>
      </c>
      <c r="E359" s="16">
        <v>99.72</v>
      </c>
    </row>
    <row r="360" spans="1:5" x14ac:dyDescent="0.2">
      <c r="A360" s="14">
        <v>6977</v>
      </c>
      <c r="B360" s="47">
        <v>42710</v>
      </c>
      <c r="C360" s="357" t="s">
        <v>570</v>
      </c>
      <c r="D360" s="4" t="s">
        <v>177</v>
      </c>
      <c r="E360" s="16">
        <v>88.67</v>
      </c>
    </row>
    <row r="361" spans="1:5" x14ac:dyDescent="0.2">
      <c r="A361" s="14">
        <v>6984</v>
      </c>
      <c r="B361" s="47">
        <v>42738</v>
      </c>
      <c r="C361" s="27" t="s">
        <v>570</v>
      </c>
      <c r="D361" s="4" t="s">
        <v>97</v>
      </c>
      <c r="E361" s="16">
        <v>98.73</v>
      </c>
    </row>
    <row r="362" spans="1:5" x14ac:dyDescent="0.2">
      <c r="A362" s="14">
        <v>7000</v>
      </c>
      <c r="B362" s="47">
        <v>42752</v>
      </c>
      <c r="C362" s="357" t="s">
        <v>570</v>
      </c>
      <c r="D362" s="4" t="s">
        <v>97</v>
      </c>
      <c r="E362" s="16">
        <v>133.91</v>
      </c>
    </row>
    <row r="363" spans="1:5" x14ac:dyDescent="0.2">
      <c r="A363" s="318">
        <v>7002</v>
      </c>
      <c r="B363" s="13">
        <v>42752</v>
      </c>
      <c r="C363" s="27" t="s">
        <v>570</v>
      </c>
      <c r="D363" s="4" t="s">
        <v>97</v>
      </c>
      <c r="E363" s="16">
        <v>20.49</v>
      </c>
    </row>
    <row r="364" spans="1:5" x14ac:dyDescent="0.2">
      <c r="A364" s="14">
        <v>7006</v>
      </c>
      <c r="B364" s="47">
        <v>42773</v>
      </c>
      <c r="C364" s="27" t="s">
        <v>570</v>
      </c>
      <c r="D364" s="4" t="s">
        <v>97</v>
      </c>
      <c r="E364" s="16">
        <v>103.17</v>
      </c>
    </row>
    <row r="365" spans="1:5" x14ac:dyDescent="0.2">
      <c r="A365" s="14">
        <v>7023</v>
      </c>
      <c r="B365" s="47">
        <v>42801</v>
      </c>
      <c r="C365" s="27" t="s">
        <v>570</v>
      </c>
      <c r="D365" s="4" t="s">
        <v>97</v>
      </c>
      <c r="E365" s="16">
        <v>177.7</v>
      </c>
    </row>
    <row r="366" spans="1:5" x14ac:dyDescent="0.2">
      <c r="A366" s="318">
        <v>7030</v>
      </c>
      <c r="B366" s="13">
        <v>42815</v>
      </c>
      <c r="C366" s="27" t="s">
        <v>570</v>
      </c>
      <c r="D366" s="4" t="s">
        <v>97</v>
      </c>
      <c r="E366" s="16">
        <v>84.29</v>
      </c>
    </row>
    <row r="367" spans="1:5" x14ac:dyDescent="0.2">
      <c r="A367" s="318">
        <v>7050</v>
      </c>
      <c r="B367" s="365">
        <v>42843</v>
      </c>
      <c r="C367" s="27" t="s">
        <v>570</v>
      </c>
      <c r="D367" s="4" t="s">
        <v>97</v>
      </c>
      <c r="E367" s="16">
        <v>115.03</v>
      </c>
    </row>
    <row r="368" spans="1:5" x14ac:dyDescent="0.2">
      <c r="A368" s="14">
        <v>7057</v>
      </c>
      <c r="B368" s="28">
        <v>42857</v>
      </c>
      <c r="C368" s="357" t="s">
        <v>570</v>
      </c>
      <c r="D368" s="4" t="s">
        <v>97</v>
      </c>
      <c r="E368" s="16">
        <v>137.96</v>
      </c>
    </row>
    <row r="369" spans="1:6" x14ac:dyDescent="0.2">
      <c r="A369" s="14">
        <v>7073</v>
      </c>
      <c r="B369" s="47">
        <v>42871</v>
      </c>
      <c r="C369" s="27" t="s">
        <v>570</v>
      </c>
      <c r="D369" s="4" t="s">
        <v>97</v>
      </c>
      <c r="E369" s="16">
        <v>127.31</v>
      </c>
      <c r="F369" s="16">
        <v>0</v>
      </c>
    </row>
    <row r="370" spans="1:6" x14ac:dyDescent="0.2">
      <c r="A370" s="14">
        <v>6980</v>
      </c>
      <c r="B370" s="355">
        <v>42724</v>
      </c>
      <c r="C370" s="356" t="s">
        <v>571</v>
      </c>
      <c r="D370" s="4" t="s">
        <v>829</v>
      </c>
      <c r="E370" s="16">
        <v>100</v>
      </c>
    </row>
    <row r="371" spans="1:6" x14ac:dyDescent="0.2">
      <c r="A371" s="14">
        <v>6917</v>
      </c>
      <c r="B371" s="47">
        <v>42598</v>
      </c>
      <c r="C371" s="27" t="s">
        <v>572</v>
      </c>
      <c r="D371" s="4" t="s">
        <v>830</v>
      </c>
      <c r="E371" s="16">
        <v>0</v>
      </c>
    </row>
    <row r="372" spans="1:6" x14ac:dyDescent="0.2">
      <c r="A372" s="318">
        <v>6925</v>
      </c>
      <c r="B372" s="13">
        <v>42619</v>
      </c>
      <c r="C372" s="27" t="s">
        <v>572</v>
      </c>
      <c r="D372" s="4" t="s">
        <v>831</v>
      </c>
      <c r="E372" s="16">
        <v>100</v>
      </c>
    </row>
    <row r="373" spans="1:6" x14ac:dyDescent="0.2">
      <c r="A373" s="14">
        <v>6900</v>
      </c>
      <c r="B373" s="28">
        <v>42570</v>
      </c>
      <c r="C373" s="356" t="s">
        <v>573</v>
      </c>
      <c r="D373" s="4" t="s">
        <v>832</v>
      </c>
      <c r="E373" s="16">
        <v>93.55</v>
      </c>
    </row>
    <row r="374" spans="1:6" x14ac:dyDescent="0.2">
      <c r="A374" s="14">
        <v>6901</v>
      </c>
      <c r="B374" s="28">
        <v>42570</v>
      </c>
      <c r="C374" s="356" t="s">
        <v>573</v>
      </c>
      <c r="D374" s="4" t="s">
        <v>833</v>
      </c>
      <c r="E374" s="16">
        <v>1346.2</v>
      </c>
    </row>
    <row r="375" spans="1:6" x14ac:dyDescent="0.2">
      <c r="A375" s="14">
        <v>6906</v>
      </c>
      <c r="B375" s="47">
        <v>42570</v>
      </c>
      <c r="C375" s="27" t="s">
        <v>573</v>
      </c>
      <c r="D375" s="4" t="s">
        <v>834</v>
      </c>
      <c r="E375" s="16">
        <v>149.34</v>
      </c>
    </row>
    <row r="376" spans="1:6" x14ac:dyDescent="0.2">
      <c r="A376" s="14">
        <v>6910</v>
      </c>
      <c r="B376" s="358">
        <v>42598</v>
      </c>
      <c r="C376" s="356" t="s">
        <v>574</v>
      </c>
      <c r="D376" s="4" t="s">
        <v>212</v>
      </c>
      <c r="E376" s="16">
        <v>4200</v>
      </c>
    </row>
    <row r="377" spans="1:6" x14ac:dyDescent="0.2">
      <c r="A377" s="318">
        <v>6961</v>
      </c>
      <c r="B377" s="47">
        <v>42689</v>
      </c>
      <c r="C377" s="27" t="s">
        <v>574</v>
      </c>
      <c r="D377" s="4" t="s">
        <v>835</v>
      </c>
      <c r="E377" s="16">
        <v>10000</v>
      </c>
    </row>
    <row r="378" spans="1:6" x14ac:dyDescent="0.2">
      <c r="A378" s="14">
        <v>7010</v>
      </c>
      <c r="B378" s="47">
        <v>42773</v>
      </c>
      <c r="C378" s="27" t="s">
        <v>575</v>
      </c>
      <c r="D378" s="4" t="s">
        <v>836</v>
      </c>
      <c r="E378" s="16">
        <v>570</v>
      </c>
    </row>
    <row r="379" spans="1:6" x14ac:dyDescent="0.2">
      <c r="A379" s="14">
        <v>7055</v>
      </c>
      <c r="B379" s="47">
        <v>42843</v>
      </c>
      <c r="C379" s="27" t="s">
        <v>576</v>
      </c>
      <c r="D379" s="4" t="s">
        <v>837</v>
      </c>
      <c r="E379" s="16">
        <v>36690</v>
      </c>
    </row>
    <row r="380" spans="1:6" x14ac:dyDescent="0.2">
      <c r="A380" s="14">
        <v>7013</v>
      </c>
      <c r="B380" s="47">
        <v>42787</v>
      </c>
      <c r="C380" s="27" t="s">
        <v>577</v>
      </c>
      <c r="D380" s="4" t="s">
        <v>838</v>
      </c>
      <c r="E380" s="16">
        <v>418.89</v>
      </c>
    </row>
    <row r="381" spans="1:6" x14ac:dyDescent="0.2">
      <c r="A381" s="318">
        <v>7026</v>
      </c>
      <c r="B381" s="13">
        <v>42801</v>
      </c>
      <c r="C381" s="27" t="s">
        <v>577</v>
      </c>
      <c r="D381" s="4" t="s">
        <v>838</v>
      </c>
      <c r="E381" s="16">
        <v>488.23</v>
      </c>
    </row>
    <row r="382" spans="1:6" x14ac:dyDescent="0.2">
      <c r="A382" s="14">
        <v>6933</v>
      </c>
      <c r="B382" s="47">
        <v>42635</v>
      </c>
      <c r="C382" s="27" t="s">
        <v>578</v>
      </c>
      <c r="D382" s="4" t="s">
        <v>839</v>
      </c>
      <c r="E382" s="16">
        <v>1200</v>
      </c>
    </row>
    <row r="383" spans="1:6" x14ac:dyDescent="0.2">
      <c r="A383" s="14">
        <v>6943</v>
      </c>
      <c r="B383" s="355">
        <v>42647</v>
      </c>
      <c r="C383" s="356" t="s">
        <v>579</v>
      </c>
      <c r="D383" s="15" t="s">
        <v>840</v>
      </c>
      <c r="E383" s="16">
        <v>137.86000000000001</v>
      </c>
    </row>
    <row r="384" spans="1:6" x14ac:dyDescent="0.2">
      <c r="A384" s="318">
        <v>6952</v>
      </c>
      <c r="B384" s="47">
        <v>42661</v>
      </c>
      <c r="C384" s="27" t="s">
        <v>579</v>
      </c>
      <c r="D384" s="4" t="s">
        <v>841</v>
      </c>
      <c r="E384" s="16">
        <v>115.57</v>
      </c>
    </row>
    <row r="385" spans="1:6" x14ac:dyDescent="0.2">
      <c r="A385" s="14">
        <v>6966</v>
      </c>
      <c r="B385" s="47">
        <v>42710</v>
      </c>
      <c r="C385" s="27" t="s">
        <v>579</v>
      </c>
      <c r="D385" s="4" t="s">
        <v>842</v>
      </c>
      <c r="E385" s="16">
        <v>157.16</v>
      </c>
    </row>
    <row r="386" spans="1:6" x14ac:dyDescent="0.2">
      <c r="A386" s="14">
        <v>6967</v>
      </c>
      <c r="B386" s="47">
        <v>42710</v>
      </c>
      <c r="C386" s="27" t="s">
        <v>579</v>
      </c>
      <c r="D386" s="4" t="s">
        <v>842</v>
      </c>
      <c r="E386" s="16">
        <v>13.76</v>
      </c>
    </row>
    <row r="387" spans="1:6" x14ac:dyDescent="0.2">
      <c r="A387" s="14">
        <v>6968</v>
      </c>
      <c r="B387" s="47">
        <v>42710</v>
      </c>
      <c r="C387" s="27" t="s">
        <v>579</v>
      </c>
      <c r="D387" s="4" t="s">
        <v>842</v>
      </c>
      <c r="E387" s="16">
        <v>18.45</v>
      </c>
    </row>
    <row r="388" spans="1:6" x14ac:dyDescent="0.2">
      <c r="A388" s="318">
        <v>6986</v>
      </c>
      <c r="B388" s="47">
        <v>42738</v>
      </c>
      <c r="C388" s="27" t="s">
        <v>579</v>
      </c>
      <c r="D388" s="4" t="s">
        <v>843</v>
      </c>
      <c r="E388" s="16">
        <v>14</v>
      </c>
    </row>
    <row r="389" spans="1:6" x14ac:dyDescent="0.2">
      <c r="A389" s="14">
        <v>6914</v>
      </c>
      <c r="B389" s="28">
        <v>42598</v>
      </c>
      <c r="C389" s="357" t="s">
        <v>580</v>
      </c>
      <c r="D389" s="4" t="s">
        <v>844</v>
      </c>
      <c r="E389" s="16">
        <v>275.20999999999998</v>
      </c>
    </row>
    <row r="390" spans="1:6" x14ac:dyDescent="0.2">
      <c r="A390" s="318">
        <v>6994</v>
      </c>
      <c r="B390" s="13">
        <v>42752</v>
      </c>
      <c r="C390" s="27" t="s">
        <v>580</v>
      </c>
      <c r="D390" s="4" t="s">
        <v>845</v>
      </c>
      <c r="E390" s="16">
        <v>250</v>
      </c>
    </row>
    <row r="391" spans="1:6" x14ac:dyDescent="0.2">
      <c r="A391" s="366">
        <v>7051</v>
      </c>
      <c r="B391" s="367">
        <v>42843</v>
      </c>
      <c r="C391" s="368" t="s">
        <v>580</v>
      </c>
      <c r="D391" s="5" t="s">
        <v>846</v>
      </c>
      <c r="E391" s="16">
        <v>269.45999999999998</v>
      </c>
    </row>
    <row r="392" spans="1:6" x14ac:dyDescent="0.2">
      <c r="A392" s="366">
        <v>7060</v>
      </c>
      <c r="B392" s="367">
        <v>42857</v>
      </c>
      <c r="C392" s="368" t="s">
        <v>580</v>
      </c>
      <c r="D392" s="5" t="s">
        <v>847</v>
      </c>
      <c r="E392" s="16">
        <v>250</v>
      </c>
    </row>
    <row r="393" spans="1:6" x14ac:dyDescent="0.2">
      <c r="A393" s="369">
        <v>7011</v>
      </c>
      <c r="B393" s="370">
        <v>42773</v>
      </c>
      <c r="C393" s="368" t="s">
        <v>581</v>
      </c>
      <c r="D393" s="5" t="s">
        <v>848</v>
      </c>
      <c r="E393" s="16">
        <v>500</v>
      </c>
    </row>
    <row r="394" spans="1:6" x14ac:dyDescent="0.2">
      <c r="A394" s="366">
        <v>6958</v>
      </c>
      <c r="B394" s="367">
        <v>42675</v>
      </c>
      <c r="C394" s="368" t="s">
        <v>582</v>
      </c>
      <c r="D394" s="371" t="s">
        <v>849</v>
      </c>
      <c r="E394" s="16">
        <v>500</v>
      </c>
    </row>
    <row r="395" spans="1:6" x14ac:dyDescent="0.2">
      <c r="A395" s="366">
        <v>6973</v>
      </c>
      <c r="B395" s="61">
        <v>42710</v>
      </c>
      <c r="C395" s="62" t="s">
        <v>582</v>
      </c>
      <c r="D395" s="5" t="s">
        <v>849</v>
      </c>
      <c r="E395" s="16">
        <v>300</v>
      </c>
    </row>
    <row r="396" spans="1:6" x14ac:dyDescent="0.2">
      <c r="A396" s="366">
        <v>6959</v>
      </c>
      <c r="B396" s="61">
        <v>42675</v>
      </c>
      <c r="C396" s="62" t="s">
        <v>583</v>
      </c>
      <c r="D396" s="5" t="s">
        <v>380</v>
      </c>
      <c r="E396" s="16">
        <v>440.8</v>
      </c>
    </row>
    <row r="397" spans="1:6" x14ac:dyDescent="0.2">
      <c r="A397" s="366">
        <v>7076</v>
      </c>
      <c r="B397" s="372">
        <v>42871</v>
      </c>
      <c r="C397" s="373" t="s">
        <v>584</v>
      </c>
      <c r="D397" s="5" t="s">
        <v>850</v>
      </c>
      <c r="E397" s="16">
        <v>91.58</v>
      </c>
      <c r="F397" s="16">
        <v>0</v>
      </c>
    </row>
    <row r="398" spans="1:6" x14ac:dyDescent="0.2">
      <c r="A398" s="366">
        <v>7077</v>
      </c>
      <c r="B398" s="367">
        <v>42871</v>
      </c>
      <c r="C398" s="368" t="s">
        <v>584</v>
      </c>
      <c r="D398" s="5" t="s">
        <v>851</v>
      </c>
      <c r="E398" s="16">
        <v>150</v>
      </c>
      <c r="F398" s="16">
        <v>0</v>
      </c>
    </row>
    <row r="399" spans="1:6" x14ac:dyDescent="0.2">
      <c r="A399" s="366">
        <v>7067</v>
      </c>
      <c r="B399" s="367">
        <v>42871</v>
      </c>
      <c r="C399" s="368" t="s">
        <v>585</v>
      </c>
      <c r="D399" s="5" t="s">
        <v>852</v>
      </c>
      <c r="E399" s="16">
        <v>6750</v>
      </c>
      <c r="F399" s="16">
        <v>0</v>
      </c>
    </row>
    <row r="400" spans="1:6" x14ac:dyDescent="0.2">
      <c r="A400" s="366">
        <v>7070</v>
      </c>
      <c r="B400" s="367">
        <v>42871</v>
      </c>
      <c r="C400" s="368" t="s">
        <v>585</v>
      </c>
      <c r="D400" s="5" t="s">
        <v>853</v>
      </c>
      <c r="E400" s="16">
        <v>750</v>
      </c>
      <c r="F400" s="16">
        <v>0</v>
      </c>
    </row>
    <row r="401" spans="1:6" x14ac:dyDescent="0.2">
      <c r="A401" s="366">
        <v>7047</v>
      </c>
      <c r="B401" s="61">
        <v>42843</v>
      </c>
      <c r="C401" s="368" t="s">
        <v>586</v>
      </c>
      <c r="D401" s="5" t="s">
        <v>18</v>
      </c>
      <c r="E401" s="16">
        <v>100</v>
      </c>
    </row>
    <row r="402" spans="1:6" x14ac:dyDescent="0.2">
      <c r="A402" s="369">
        <v>7052</v>
      </c>
      <c r="B402" s="367">
        <v>42843</v>
      </c>
      <c r="C402" s="368" t="s">
        <v>586</v>
      </c>
      <c r="D402" s="5" t="s">
        <v>854</v>
      </c>
      <c r="E402" s="16">
        <v>100</v>
      </c>
    </row>
    <row r="403" spans="1:6" x14ac:dyDescent="0.2">
      <c r="A403" s="366">
        <v>6982</v>
      </c>
      <c r="B403" s="367">
        <v>42724</v>
      </c>
      <c r="C403" s="368" t="s">
        <v>587</v>
      </c>
      <c r="D403" s="5" t="s">
        <v>14</v>
      </c>
      <c r="E403" s="16">
        <v>145.43</v>
      </c>
    </row>
    <row r="404" spans="1:6" x14ac:dyDescent="0.2">
      <c r="A404" s="366">
        <v>6918</v>
      </c>
      <c r="B404" s="61">
        <v>42598</v>
      </c>
      <c r="C404" s="62" t="s">
        <v>588</v>
      </c>
      <c r="D404" s="5" t="s">
        <v>855</v>
      </c>
      <c r="E404" s="16">
        <v>100</v>
      </c>
    </row>
    <row r="405" spans="1:6" x14ac:dyDescent="0.2">
      <c r="A405" s="369">
        <v>7028</v>
      </c>
      <c r="B405" s="367">
        <v>42801</v>
      </c>
      <c r="C405" s="368" t="s">
        <v>588</v>
      </c>
      <c r="D405" s="5" t="s">
        <v>856</v>
      </c>
      <c r="E405" s="16">
        <v>2000</v>
      </c>
    </row>
    <row r="406" spans="1:6" x14ac:dyDescent="0.2">
      <c r="A406" s="369">
        <v>7036</v>
      </c>
      <c r="B406" s="370">
        <v>42815</v>
      </c>
      <c r="C406" s="368" t="s">
        <v>588</v>
      </c>
      <c r="D406" s="5" t="s">
        <v>857</v>
      </c>
      <c r="E406" s="16">
        <v>250</v>
      </c>
    </row>
    <row r="407" spans="1:6" x14ac:dyDescent="0.2">
      <c r="A407" s="366">
        <v>7054</v>
      </c>
      <c r="B407" s="367">
        <v>42843</v>
      </c>
      <c r="C407" s="368" t="s">
        <v>588</v>
      </c>
      <c r="D407" s="5" t="s">
        <v>858</v>
      </c>
      <c r="E407" s="16">
        <v>100</v>
      </c>
    </row>
    <row r="408" spans="1:6" x14ac:dyDescent="0.2">
      <c r="A408" s="369">
        <v>7066</v>
      </c>
      <c r="B408" s="370">
        <v>42857</v>
      </c>
      <c r="C408" s="368" t="s">
        <v>588</v>
      </c>
      <c r="D408" s="5" t="s">
        <v>859</v>
      </c>
      <c r="E408" s="16">
        <v>300</v>
      </c>
    </row>
    <row r="409" spans="1:6" x14ac:dyDescent="0.2">
      <c r="A409" s="366">
        <v>7068</v>
      </c>
      <c r="B409" s="374">
        <v>42871</v>
      </c>
      <c r="C409" s="368" t="s">
        <v>589</v>
      </c>
      <c r="D409" s="5" t="s">
        <v>53</v>
      </c>
      <c r="E409" s="16">
        <v>2000</v>
      </c>
      <c r="F409" s="16">
        <v>0</v>
      </c>
    </row>
    <row r="410" spans="1:6" x14ac:dyDescent="0.2">
      <c r="A410" s="369"/>
      <c r="B410" s="370">
        <v>42829</v>
      </c>
      <c r="C410" s="368"/>
      <c r="D410" s="5"/>
      <c r="E410" s="16">
        <v>0</v>
      </c>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46"/>
  <sheetViews>
    <sheetView workbookViewId="0"/>
  </sheetViews>
  <sheetFormatPr defaultRowHeight="14.25" x14ac:dyDescent="0.2"/>
  <cols>
    <col min="1" max="5" width="7.375" customWidth="1"/>
    <col min="6" max="8" width="10.75" customWidth="1"/>
    <col min="9" max="9" width="9.25" customWidth="1"/>
    <col min="10" max="1024" width="7.375" customWidth="1"/>
  </cols>
  <sheetData>
    <row r="1" spans="1:9" x14ac:dyDescent="0.2">
      <c r="A1" s="376" t="s">
        <v>860</v>
      </c>
      <c r="B1" s="377" t="s">
        <v>6</v>
      </c>
      <c r="C1" s="378" t="s">
        <v>7</v>
      </c>
      <c r="D1" s="379" t="s">
        <v>594</v>
      </c>
      <c r="E1" s="379" t="s">
        <v>861</v>
      </c>
      <c r="F1" s="380" t="s">
        <v>596</v>
      </c>
      <c r="G1" s="380" t="s">
        <v>597</v>
      </c>
      <c r="H1" s="380" t="s">
        <v>598</v>
      </c>
      <c r="I1" s="381"/>
    </row>
    <row r="2" spans="1:9" x14ac:dyDescent="0.2">
      <c r="A2" s="382"/>
      <c r="B2" s="47">
        <v>42552</v>
      </c>
      <c r="C2" s="27" t="s">
        <v>862</v>
      </c>
      <c r="D2" s="15" t="s">
        <v>600</v>
      </c>
      <c r="E2" s="383"/>
      <c r="F2" s="36">
        <v>0</v>
      </c>
      <c r="G2" s="36">
        <v>0</v>
      </c>
      <c r="H2" s="36">
        <v>0</v>
      </c>
      <c r="I2" s="384"/>
    </row>
    <row r="3" spans="1:9" x14ac:dyDescent="0.2">
      <c r="A3" s="382">
        <v>7031</v>
      </c>
      <c r="B3" s="385">
        <v>42815</v>
      </c>
      <c r="C3" s="386" t="s">
        <v>424</v>
      </c>
      <c r="D3" s="44" t="s">
        <v>863</v>
      </c>
      <c r="E3" s="44"/>
      <c r="F3" s="36">
        <v>83.97</v>
      </c>
      <c r="G3" s="383">
        <v>0</v>
      </c>
      <c r="H3" s="36">
        <v>26802.412625000001</v>
      </c>
      <c r="I3" s="384" t="s">
        <v>864</v>
      </c>
    </row>
    <row r="4" spans="1:9" x14ac:dyDescent="0.2">
      <c r="A4" s="382">
        <v>7032</v>
      </c>
      <c r="B4" s="385">
        <v>42815</v>
      </c>
      <c r="C4" s="386" t="s">
        <v>424</v>
      </c>
      <c r="D4" s="44" t="s">
        <v>687</v>
      </c>
      <c r="E4" s="44"/>
      <c r="F4" s="36">
        <v>412.45</v>
      </c>
      <c r="G4" s="383">
        <v>0</v>
      </c>
      <c r="H4" s="36">
        <v>26389.962625</v>
      </c>
      <c r="I4" s="384" t="s">
        <v>864</v>
      </c>
    </row>
    <row r="5" spans="1:9" x14ac:dyDescent="0.2">
      <c r="A5" s="382">
        <v>7033</v>
      </c>
      <c r="B5" s="385">
        <v>42815</v>
      </c>
      <c r="C5" s="386" t="s">
        <v>424</v>
      </c>
      <c r="D5" s="44" t="s">
        <v>688</v>
      </c>
      <c r="E5" s="44"/>
      <c r="F5" s="36">
        <v>473.1</v>
      </c>
      <c r="G5" s="383">
        <v>0</v>
      </c>
      <c r="H5" s="36">
        <v>25741.052625</v>
      </c>
      <c r="I5" s="384" t="s">
        <v>864</v>
      </c>
    </row>
    <row r="6" spans="1:9" x14ac:dyDescent="0.2">
      <c r="A6" s="387">
        <v>6869</v>
      </c>
      <c r="B6" s="388">
        <v>42493</v>
      </c>
      <c r="C6" s="27" t="s">
        <v>445</v>
      </c>
      <c r="D6" s="15" t="s">
        <v>865</v>
      </c>
      <c r="E6" s="15"/>
      <c r="F6" s="383">
        <v>500</v>
      </c>
      <c r="G6" s="383">
        <v>0</v>
      </c>
      <c r="H6" s="4">
        <v>-20222.98</v>
      </c>
      <c r="I6" s="384" t="s">
        <v>864</v>
      </c>
    </row>
    <row r="7" spans="1:9" x14ac:dyDescent="0.2">
      <c r="A7" s="387">
        <v>6839</v>
      </c>
      <c r="B7" s="388">
        <v>42465</v>
      </c>
      <c r="C7" s="27" t="s">
        <v>103</v>
      </c>
      <c r="D7" s="15" t="s">
        <v>866</v>
      </c>
      <c r="E7" s="15"/>
      <c r="F7" s="383">
        <v>55.63</v>
      </c>
      <c r="G7" s="383">
        <v>0</v>
      </c>
      <c r="H7" s="4">
        <v>11853.67</v>
      </c>
      <c r="I7" s="384" t="s">
        <v>864</v>
      </c>
    </row>
    <row r="8" spans="1:9" x14ac:dyDescent="0.2">
      <c r="A8" s="389">
        <v>6962</v>
      </c>
      <c r="B8" s="13">
        <v>42689</v>
      </c>
      <c r="C8" s="318" t="s">
        <v>103</v>
      </c>
      <c r="D8" s="316" t="s">
        <v>867</v>
      </c>
      <c r="E8" s="4"/>
      <c r="F8" s="4">
        <v>50</v>
      </c>
      <c r="G8" s="383">
        <v>0</v>
      </c>
      <c r="H8" s="36">
        <v>-29905.22</v>
      </c>
      <c r="I8" s="384" t="s">
        <v>864</v>
      </c>
    </row>
    <row r="9" spans="1:9" x14ac:dyDescent="0.2">
      <c r="A9" s="382">
        <v>6992</v>
      </c>
      <c r="B9" s="47">
        <v>42738</v>
      </c>
      <c r="C9" s="27" t="s">
        <v>103</v>
      </c>
      <c r="D9" s="15" t="s">
        <v>691</v>
      </c>
      <c r="E9" s="383"/>
      <c r="F9" s="36">
        <v>50</v>
      </c>
      <c r="G9" s="383">
        <v>0</v>
      </c>
      <c r="H9" s="36">
        <v>1219.3399999999999</v>
      </c>
      <c r="I9" s="384" t="s">
        <v>864</v>
      </c>
    </row>
    <row r="10" spans="1:9" x14ac:dyDescent="0.2">
      <c r="A10" s="387">
        <v>6811</v>
      </c>
      <c r="B10" s="388">
        <v>42416</v>
      </c>
      <c r="C10" s="27" t="s">
        <v>109</v>
      </c>
      <c r="D10" s="15" t="s">
        <v>868</v>
      </c>
      <c r="E10" s="15"/>
      <c r="F10" s="383">
        <v>247</v>
      </c>
      <c r="G10" s="383">
        <v>0</v>
      </c>
      <c r="H10" s="4">
        <v>-3660.45</v>
      </c>
      <c r="I10" s="384" t="s">
        <v>864</v>
      </c>
    </row>
    <row r="11" spans="1:9" x14ac:dyDescent="0.2">
      <c r="A11" s="387">
        <v>6820</v>
      </c>
      <c r="B11" s="388">
        <v>42430</v>
      </c>
      <c r="C11" s="27" t="s">
        <v>109</v>
      </c>
      <c r="D11" s="15" t="s">
        <v>869</v>
      </c>
      <c r="E11" s="15"/>
      <c r="F11" s="383">
        <v>309.91000000000003</v>
      </c>
      <c r="G11" s="383">
        <v>0</v>
      </c>
      <c r="H11" s="4">
        <v>-5561.82</v>
      </c>
      <c r="I11" s="384" t="s">
        <v>864</v>
      </c>
    </row>
    <row r="12" spans="1:9" x14ac:dyDescent="0.2">
      <c r="A12" s="387">
        <v>6828</v>
      </c>
      <c r="B12" s="388">
        <v>42430</v>
      </c>
      <c r="C12" s="27" t="s">
        <v>109</v>
      </c>
      <c r="D12" s="15" t="s">
        <v>870</v>
      </c>
      <c r="E12" s="15"/>
      <c r="F12" s="383">
        <v>156.16999999999999</v>
      </c>
      <c r="G12" s="383">
        <v>0</v>
      </c>
      <c r="H12" s="4">
        <v>7271.44</v>
      </c>
      <c r="I12" s="384" t="s">
        <v>864</v>
      </c>
    </row>
    <row r="13" spans="1:9" x14ac:dyDescent="0.2">
      <c r="A13" s="382">
        <v>7018</v>
      </c>
      <c r="B13" s="385">
        <v>42801</v>
      </c>
      <c r="C13" s="386" t="s">
        <v>109</v>
      </c>
      <c r="D13" s="44" t="s">
        <v>692</v>
      </c>
      <c r="E13" s="44"/>
      <c r="F13" s="36">
        <v>1095.25</v>
      </c>
      <c r="G13" s="383">
        <v>0</v>
      </c>
      <c r="H13" s="36">
        <v>7911.4696249999997</v>
      </c>
      <c r="I13" s="384" t="s">
        <v>864</v>
      </c>
    </row>
    <row r="14" spans="1:9" x14ac:dyDescent="0.2">
      <c r="A14" s="382">
        <v>7019</v>
      </c>
      <c r="B14" s="385">
        <v>42801</v>
      </c>
      <c r="C14" s="386" t="s">
        <v>109</v>
      </c>
      <c r="D14" s="44" t="s">
        <v>693</v>
      </c>
      <c r="E14" s="44"/>
      <c r="F14" s="36">
        <v>1263.117</v>
      </c>
      <c r="G14" s="383">
        <v>0</v>
      </c>
      <c r="H14" s="36">
        <v>6648.3526250000004</v>
      </c>
      <c r="I14" s="384" t="s">
        <v>864</v>
      </c>
    </row>
    <row r="15" spans="1:9" x14ac:dyDescent="0.2">
      <c r="A15" s="382">
        <v>7025</v>
      </c>
      <c r="B15" s="385">
        <v>42801</v>
      </c>
      <c r="C15" s="386" t="s">
        <v>109</v>
      </c>
      <c r="D15" s="44" t="s">
        <v>694</v>
      </c>
      <c r="E15" s="44"/>
      <c r="F15" s="36">
        <v>235.19</v>
      </c>
      <c r="G15" s="383">
        <v>0</v>
      </c>
      <c r="H15" s="36">
        <v>5984.8526250000004</v>
      </c>
      <c r="I15" s="384" t="s">
        <v>864</v>
      </c>
    </row>
    <row r="16" spans="1:9" x14ac:dyDescent="0.2">
      <c r="A16" s="382">
        <v>7032</v>
      </c>
      <c r="B16" s="385">
        <v>42815</v>
      </c>
      <c r="C16" s="386" t="s">
        <v>109</v>
      </c>
      <c r="D16" s="44" t="s">
        <v>695</v>
      </c>
      <c r="E16" s="44"/>
      <c r="F16" s="36">
        <v>175.81</v>
      </c>
      <c r="G16" s="383">
        <v>0</v>
      </c>
      <c r="H16" s="36">
        <v>26214.152624999999</v>
      </c>
      <c r="I16" s="384" t="s">
        <v>864</v>
      </c>
    </row>
    <row r="17" spans="1:9" x14ac:dyDescent="0.2">
      <c r="A17" s="382">
        <v>7035</v>
      </c>
      <c r="B17" s="385">
        <v>42815</v>
      </c>
      <c r="C17" s="386" t="s">
        <v>109</v>
      </c>
      <c r="D17" s="44" t="s">
        <v>651</v>
      </c>
      <c r="E17" s="44"/>
      <c r="F17" s="36">
        <v>392.9</v>
      </c>
      <c r="G17" s="383">
        <v>0</v>
      </c>
      <c r="H17" s="36">
        <v>24802.082624999999</v>
      </c>
      <c r="I17" s="384" t="s">
        <v>864</v>
      </c>
    </row>
    <row r="18" spans="1:9" x14ac:dyDescent="0.2">
      <c r="A18" s="389">
        <v>6792</v>
      </c>
      <c r="B18" s="13">
        <v>42388</v>
      </c>
      <c r="C18" s="14" t="s">
        <v>427</v>
      </c>
      <c r="D18" s="12" t="s">
        <v>871</v>
      </c>
      <c r="E18" s="12"/>
      <c r="F18" s="383">
        <v>600.04</v>
      </c>
      <c r="G18" s="383">
        <v>0</v>
      </c>
      <c r="H18" s="4">
        <v>-8536.5300000000007</v>
      </c>
      <c r="I18" s="384" t="s">
        <v>864</v>
      </c>
    </row>
    <row r="19" spans="1:9" x14ac:dyDescent="0.2">
      <c r="A19" s="387">
        <v>6799</v>
      </c>
      <c r="B19" s="47">
        <v>42402</v>
      </c>
      <c r="C19" s="27" t="s">
        <v>427</v>
      </c>
      <c r="D19" s="15" t="s">
        <v>872</v>
      </c>
      <c r="E19" s="15"/>
      <c r="F19" s="383">
        <v>187.49</v>
      </c>
      <c r="G19" s="383">
        <v>0</v>
      </c>
      <c r="H19" s="4">
        <v>-6801.02</v>
      </c>
      <c r="I19" s="384" t="s">
        <v>864</v>
      </c>
    </row>
    <row r="20" spans="1:9" x14ac:dyDescent="0.2">
      <c r="A20" s="387">
        <v>6807</v>
      </c>
      <c r="B20" s="388">
        <v>42416</v>
      </c>
      <c r="C20" s="27" t="s">
        <v>427</v>
      </c>
      <c r="D20" s="15" t="s">
        <v>871</v>
      </c>
      <c r="E20" s="15"/>
      <c r="F20" s="383">
        <v>329.32</v>
      </c>
      <c r="G20" s="383">
        <v>0</v>
      </c>
      <c r="H20" s="4">
        <v>-2720.51</v>
      </c>
      <c r="I20" s="384" t="s">
        <v>864</v>
      </c>
    </row>
    <row r="21" spans="1:9" x14ac:dyDescent="0.2">
      <c r="A21" s="387">
        <v>6814</v>
      </c>
      <c r="B21" s="388">
        <v>42416</v>
      </c>
      <c r="C21" s="27" t="s">
        <v>427</v>
      </c>
      <c r="D21" s="15" t="s">
        <v>873</v>
      </c>
      <c r="E21" s="15"/>
      <c r="F21" s="383">
        <v>42.38</v>
      </c>
      <c r="G21" s="383">
        <v>0</v>
      </c>
      <c r="H21" s="4">
        <v>-4331.59</v>
      </c>
      <c r="I21" s="384" t="s">
        <v>864</v>
      </c>
    </row>
    <row r="22" spans="1:9" x14ac:dyDescent="0.2">
      <c r="A22" s="387">
        <v>6834</v>
      </c>
      <c r="B22" s="388">
        <v>42444</v>
      </c>
      <c r="C22" s="27" t="s">
        <v>427</v>
      </c>
      <c r="D22" s="15" t="s">
        <v>874</v>
      </c>
      <c r="E22" s="15"/>
      <c r="F22" s="383">
        <v>352.61</v>
      </c>
      <c r="G22" s="383">
        <v>0</v>
      </c>
      <c r="H22" s="4">
        <v>14370.17</v>
      </c>
      <c r="I22" s="384" t="s">
        <v>864</v>
      </c>
    </row>
    <row r="23" spans="1:9" x14ac:dyDescent="0.2">
      <c r="A23" s="387">
        <v>6850</v>
      </c>
      <c r="B23" s="388">
        <v>42479</v>
      </c>
      <c r="C23" s="27" t="s">
        <v>427</v>
      </c>
      <c r="D23" s="15" t="s">
        <v>875</v>
      </c>
      <c r="E23" s="15"/>
      <c r="F23" s="383">
        <v>348.74</v>
      </c>
      <c r="G23" s="383">
        <v>0</v>
      </c>
      <c r="H23" s="4">
        <v>23603.19</v>
      </c>
      <c r="I23" s="384" t="s">
        <v>864</v>
      </c>
    </row>
    <row r="24" spans="1:9" x14ac:dyDescent="0.2">
      <c r="A24" s="387">
        <v>6871</v>
      </c>
      <c r="B24" s="388">
        <v>42507</v>
      </c>
      <c r="C24" s="27" t="s">
        <v>427</v>
      </c>
      <c r="D24" s="15" t="s">
        <v>876</v>
      </c>
      <c r="E24" s="15"/>
      <c r="F24" s="383">
        <v>514.4</v>
      </c>
      <c r="G24" s="383">
        <v>0</v>
      </c>
      <c r="H24" s="4">
        <v>-27487.38</v>
      </c>
      <c r="I24" s="384" t="s">
        <v>864</v>
      </c>
    </row>
    <row r="25" spans="1:9" x14ac:dyDescent="0.2">
      <c r="A25" s="387">
        <v>6873</v>
      </c>
      <c r="B25" s="388">
        <v>42507</v>
      </c>
      <c r="C25" s="27" t="s">
        <v>427</v>
      </c>
      <c r="D25" s="15" t="s">
        <v>876</v>
      </c>
      <c r="E25" s="15"/>
      <c r="F25" s="383">
        <v>98.5</v>
      </c>
      <c r="G25" s="383">
        <v>0</v>
      </c>
      <c r="H25" s="4">
        <v>-28105.96</v>
      </c>
      <c r="I25" s="384" t="s">
        <v>864</v>
      </c>
    </row>
    <row r="26" spans="1:9" x14ac:dyDescent="0.2">
      <c r="A26" s="382">
        <v>6937</v>
      </c>
      <c r="B26" s="47">
        <v>42635</v>
      </c>
      <c r="C26" s="27" t="s">
        <v>427</v>
      </c>
      <c r="D26" s="15" t="s">
        <v>877</v>
      </c>
      <c r="E26" s="383"/>
      <c r="F26" s="36">
        <v>672.33</v>
      </c>
      <c r="G26" s="383">
        <v>0</v>
      </c>
      <c r="H26" s="36">
        <v>-17220.93</v>
      </c>
      <c r="I26" s="384" t="s">
        <v>864</v>
      </c>
    </row>
    <row r="27" spans="1:9" x14ac:dyDescent="0.2">
      <c r="A27" s="387">
        <v>6950</v>
      </c>
      <c r="B27" s="47">
        <v>42661</v>
      </c>
      <c r="C27" s="27" t="s">
        <v>427</v>
      </c>
      <c r="D27" s="15" t="s">
        <v>871</v>
      </c>
      <c r="E27" s="383"/>
      <c r="F27" s="383">
        <v>408.92</v>
      </c>
      <c r="G27" s="383">
        <v>0</v>
      </c>
      <c r="H27" s="36">
        <v>-11356.51</v>
      </c>
      <c r="I27" s="384" t="s">
        <v>864</v>
      </c>
    </row>
    <row r="28" spans="1:9" x14ac:dyDescent="0.2">
      <c r="A28" s="382">
        <v>6968</v>
      </c>
      <c r="B28" s="47">
        <v>42710</v>
      </c>
      <c r="C28" s="27" t="s">
        <v>427</v>
      </c>
      <c r="D28" s="15" t="s">
        <v>871</v>
      </c>
      <c r="E28" s="383"/>
      <c r="F28" s="36">
        <v>374.02</v>
      </c>
      <c r="G28" s="383">
        <v>0</v>
      </c>
      <c r="H28" s="36">
        <v>-3182.08</v>
      </c>
      <c r="I28" s="384" t="s">
        <v>864</v>
      </c>
    </row>
    <row r="29" spans="1:9" x14ac:dyDescent="0.2">
      <c r="A29" s="389">
        <v>6976</v>
      </c>
      <c r="B29" s="13">
        <v>42710</v>
      </c>
      <c r="C29" s="318" t="s">
        <v>427</v>
      </c>
      <c r="D29" s="12" t="s">
        <v>696</v>
      </c>
      <c r="E29" s="4"/>
      <c r="F29" s="4">
        <v>300.20999999999998</v>
      </c>
      <c r="G29" s="383">
        <v>0</v>
      </c>
      <c r="H29" s="36">
        <v>-8417.06</v>
      </c>
      <c r="I29" s="384" t="s">
        <v>864</v>
      </c>
    </row>
    <row r="30" spans="1:9" x14ac:dyDescent="0.2">
      <c r="A30" s="382">
        <v>6999</v>
      </c>
      <c r="B30" s="385">
        <v>42752</v>
      </c>
      <c r="C30" s="386" t="s">
        <v>427</v>
      </c>
      <c r="D30" s="44" t="s">
        <v>877</v>
      </c>
      <c r="E30" s="44"/>
      <c r="F30" s="36">
        <v>371.13</v>
      </c>
      <c r="G30" s="383">
        <v>0</v>
      </c>
      <c r="H30" s="36">
        <v>14710.81</v>
      </c>
      <c r="I30" s="384" t="s">
        <v>864</v>
      </c>
    </row>
    <row r="31" spans="1:9" x14ac:dyDescent="0.2">
      <c r="A31" s="382">
        <v>7015</v>
      </c>
      <c r="B31" s="385">
        <v>42787</v>
      </c>
      <c r="C31" s="386" t="s">
        <v>427</v>
      </c>
      <c r="D31" s="44" t="s">
        <v>877</v>
      </c>
      <c r="E31" s="44"/>
      <c r="F31" s="36">
        <v>428.72</v>
      </c>
      <c r="G31" s="383">
        <v>0</v>
      </c>
      <c r="H31" s="36">
        <v>12543.469625</v>
      </c>
      <c r="I31" s="384" t="s">
        <v>864</v>
      </c>
    </row>
    <row r="32" spans="1:9" x14ac:dyDescent="0.2">
      <c r="A32" s="387">
        <v>6800</v>
      </c>
      <c r="B32" s="47">
        <v>42402</v>
      </c>
      <c r="C32" s="27" t="s">
        <v>16</v>
      </c>
      <c r="D32" s="15" t="s">
        <v>878</v>
      </c>
      <c r="E32" s="15"/>
      <c r="F32" s="383">
        <v>527.95000000000005</v>
      </c>
      <c r="G32" s="383">
        <v>0</v>
      </c>
      <c r="H32" s="4">
        <v>-6335.03</v>
      </c>
      <c r="I32" s="384" t="s">
        <v>864</v>
      </c>
    </row>
    <row r="33" spans="1:9" x14ac:dyDescent="0.2">
      <c r="A33" s="387">
        <v>6812</v>
      </c>
      <c r="B33" s="388">
        <v>42416</v>
      </c>
      <c r="C33" s="27" t="s">
        <v>16</v>
      </c>
      <c r="D33" s="15" t="s">
        <v>878</v>
      </c>
      <c r="E33" s="15"/>
      <c r="F33" s="383">
        <v>569.80999999999995</v>
      </c>
      <c r="G33" s="383">
        <v>0</v>
      </c>
      <c r="H33" s="4">
        <v>-4230.26</v>
      </c>
      <c r="I33" s="384" t="s">
        <v>864</v>
      </c>
    </row>
    <row r="34" spans="1:9" x14ac:dyDescent="0.2">
      <c r="A34" s="387">
        <v>6831</v>
      </c>
      <c r="B34" s="388">
        <v>42444</v>
      </c>
      <c r="C34" s="27" t="s">
        <v>16</v>
      </c>
      <c r="D34" s="15" t="s">
        <v>878</v>
      </c>
      <c r="E34" s="15"/>
      <c r="F34" s="383">
        <v>492.8</v>
      </c>
      <c r="G34" s="383">
        <v>0</v>
      </c>
      <c r="H34" s="4">
        <v>15912.4</v>
      </c>
      <c r="I34" s="384" t="s">
        <v>864</v>
      </c>
    </row>
    <row r="35" spans="1:9" x14ac:dyDescent="0.2">
      <c r="A35" s="387">
        <v>6831</v>
      </c>
      <c r="B35" s="388">
        <v>42444</v>
      </c>
      <c r="C35" s="27" t="s">
        <v>16</v>
      </c>
      <c r="D35" s="15" t="s">
        <v>879</v>
      </c>
      <c r="E35" s="15"/>
      <c r="F35" s="383">
        <v>53.96</v>
      </c>
      <c r="G35" s="383">
        <v>0</v>
      </c>
      <c r="H35" s="4">
        <v>14116.21</v>
      </c>
      <c r="I35" s="384" t="s">
        <v>864</v>
      </c>
    </row>
    <row r="36" spans="1:9" x14ac:dyDescent="0.2">
      <c r="A36" s="387">
        <v>6849</v>
      </c>
      <c r="B36" s="388">
        <v>42479</v>
      </c>
      <c r="C36" s="27" t="s">
        <v>16</v>
      </c>
      <c r="D36" s="15" t="s">
        <v>880</v>
      </c>
      <c r="E36" s="15"/>
      <c r="F36" s="383">
        <v>418.35</v>
      </c>
      <c r="G36" s="383">
        <v>0</v>
      </c>
      <c r="H36" s="4">
        <v>24020.11</v>
      </c>
      <c r="I36" s="384" t="s">
        <v>864</v>
      </c>
    </row>
    <row r="37" spans="1:9" x14ac:dyDescent="0.2">
      <c r="A37" s="387">
        <v>6872</v>
      </c>
      <c r="B37" s="388">
        <v>42507</v>
      </c>
      <c r="C37" s="27" t="s">
        <v>16</v>
      </c>
      <c r="D37" s="15" t="s">
        <v>881</v>
      </c>
      <c r="E37" s="15"/>
      <c r="F37" s="383">
        <v>463.16</v>
      </c>
      <c r="G37" s="383">
        <v>0</v>
      </c>
      <c r="H37" s="4">
        <v>-28007.46</v>
      </c>
      <c r="I37" s="384" t="s">
        <v>864</v>
      </c>
    </row>
    <row r="38" spans="1:9" x14ac:dyDescent="0.2">
      <c r="A38" s="382">
        <v>6936</v>
      </c>
      <c r="B38" s="47">
        <v>42635</v>
      </c>
      <c r="C38" s="27" t="s">
        <v>16</v>
      </c>
      <c r="D38" s="15" t="s">
        <v>882</v>
      </c>
      <c r="E38" s="383"/>
      <c r="F38" s="36">
        <v>535.03</v>
      </c>
      <c r="G38" s="383">
        <v>0</v>
      </c>
      <c r="H38" s="36">
        <v>-16409.509999999998</v>
      </c>
      <c r="I38" s="384" t="s">
        <v>864</v>
      </c>
    </row>
    <row r="39" spans="1:9" x14ac:dyDescent="0.2">
      <c r="A39" s="382">
        <v>6936</v>
      </c>
      <c r="B39" s="47">
        <v>42635</v>
      </c>
      <c r="C39" s="27" t="s">
        <v>16</v>
      </c>
      <c r="D39" s="15" t="s">
        <v>883</v>
      </c>
      <c r="E39" s="383"/>
      <c r="F39" s="36">
        <v>139.09</v>
      </c>
      <c r="G39" s="383">
        <v>0</v>
      </c>
      <c r="H39" s="36">
        <v>-16548.599999999999</v>
      </c>
      <c r="I39" s="384" t="s">
        <v>864</v>
      </c>
    </row>
    <row r="40" spans="1:9" x14ac:dyDescent="0.2">
      <c r="A40" s="389">
        <v>6949</v>
      </c>
      <c r="B40" s="13">
        <v>42661</v>
      </c>
      <c r="C40" s="14" t="s">
        <v>16</v>
      </c>
      <c r="D40" s="12" t="s">
        <v>884</v>
      </c>
      <c r="E40" s="4"/>
      <c r="F40" s="4">
        <v>569.99</v>
      </c>
      <c r="G40" s="383">
        <v>0</v>
      </c>
      <c r="H40" s="36">
        <v>-10889.25</v>
      </c>
      <c r="I40" s="384" t="s">
        <v>864</v>
      </c>
    </row>
    <row r="41" spans="1:9" x14ac:dyDescent="0.2">
      <c r="A41" s="389">
        <v>6949</v>
      </c>
      <c r="B41" s="13">
        <v>42661</v>
      </c>
      <c r="C41" s="14" t="s">
        <v>16</v>
      </c>
      <c r="D41" s="12" t="s">
        <v>879</v>
      </c>
      <c r="E41" s="4"/>
      <c r="F41" s="4">
        <v>58.34</v>
      </c>
      <c r="G41" s="383">
        <v>0</v>
      </c>
      <c r="H41" s="36">
        <v>-10947.59</v>
      </c>
      <c r="I41" s="384" t="s">
        <v>864</v>
      </c>
    </row>
    <row r="42" spans="1:9" x14ac:dyDescent="0.2">
      <c r="A42" s="382">
        <v>6970</v>
      </c>
      <c r="B42" s="47">
        <v>42710</v>
      </c>
      <c r="C42" s="27" t="s">
        <v>16</v>
      </c>
      <c r="D42" s="15" t="s">
        <v>878</v>
      </c>
      <c r="E42" s="383"/>
      <c r="F42" s="36">
        <v>494.95</v>
      </c>
      <c r="G42" s="383">
        <v>0</v>
      </c>
      <c r="H42" s="36">
        <v>-3831.2</v>
      </c>
      <c r="I42" s="384" t="s">
        <v>864</v>
      </c>
    </row>
    <row r="43" spans="1:9" x14ac:dyDescent="0.2">
      <c r="A43" s="389">
        <v>6974</v>
      </c>
      <c r="B43" s="13">
        <v>42710</v>
      </c>
      <c r="C43" s="318" t="s">
        <v>16</v>
      </c>
      <c r="D43" s="316" t="s">
        <v>701</v>
      </c>
      <c r="E43" s="4"/>
      <c r="F43" s="4">
        <v>532.27</v>
      </c>
      <c r="G43" s="383">
        <v>0</v>
      </c>
      <c r="H43" s="36">
        <v>-7963.47</v>
      </c>
      <c r="I43" s="384" t="s">
        <v>864</v>
      </c>
    </row>
    <row r="44" spans="1:9" x14ac:dyDescent="0.2">
      <c r="A44" s="389">
        <v>6974</v>
      </c>
      <c r="B44" s="13">
        <v>42710</v>
      </c>
      <c r="C44" s="318" t="s">
        <v>16</v>
      </c>
      <c r="D44" s="316" t="s">
        <v>885</v>
      </c>
      <c r="E44" s="4"/>
      <c r="F44" s="4">
        <v>53.66</v>
      </c>
      <c r="G44" s="383">
        <v>0</v>
      </c>
      <c r="H44" s="36">
        <v>-8017.13</v>
      </c>
      <c r="I44" s="384" t="s">
        <v>864</v>
      </c>
    </row>
    <row r="45" spans="1:9" x14ac:dyDescent="0.2">
      <c r="A45" s="382">
        <v>6998</v>
      </c>
      <c r="B45" s="385">
        <v>42752</v>
      </c>
      <c r="C45" s="386" t="s">
        <v>16</v>
      </c>
      <c r="D45" s="44" t="s">
        <v>884</v>
      </c>
      <c r="E45" s="44"/>
      <c r="F45" s="36">
        <v>485.96</v>
      </c>
      <c r="G45" s="383">
        <v>0</v>
      </c>
      <c r="H45" s="36">
        <v>15204.04</v>
      </c>
      <c r="I45" s="384" t="s">
        <v>864</v>
      </c>
    </row>
    <row r="46" spans="1:9" x14ac:dyDescent="0.2">
      <c r="A46" s="382">
        <v>6998</v>
      </c>
      <c r="B46" s="385">
        <v>42752</v>
      </c>
      <c r="C46" s="386" t="s">
        <v>16</v>
      </c>
      <c r="D46" s="44" t="s">
        <v>879</v>
      </c>
      <c r="E46" s="44"/>
      <c r="F46" s="36">
        <v>51.18</v>
      </c>
      <c r="G46" s="383">
        <v>0</v>
      </c>
      <c r="H46" s="36">
        <v>15152.86</v>
      </c>
      <c r="I46" s="384" t="s">
        <v>864</v>
      </c>
    </row>
    <row r="47" spans="1:9" x14ac:dyDescent="0.2">
      <c r="A47" s="382">
        <v>6999</v>
      </c>
      <c r="B47" s="385">
        <v>42752</v>
      </c>
      <c r="C47" s="386" t="s">
        <v>16</v>
      </c>
      <c r="D47" s="44" t="s">
        <v>884</v>
      </c>
      <c r="E47" s="44"/>
      <c r="F47" s="36">
        <v>70.92</v>
      </c>
      <c r="G47" s="383">
        <v>0</v>
      </c>
      <c r="H47" s="36">
        <v>15081.94</v>
      </c>
      <c r="I47" s="384" t="s">
        <v>864</v>
      </c>
    </row>
    <row r="48" spans="1:9" x14ac:dyDescent="0.2">
      <c r="A48" s="382">
        <v>7014</v>
      </c>
      <c r="B48" s="385">
        <v>42787</v>
      </c>
      <c r="C48" s="386" t="s">
        <v>16</v>
      </c>
      <c r="D48" s="44" t="s">
        <v>884</v>
      </c>
      <c r="E48" s="44"/>
      <c r="F48" s="36">
        <v>515.48</v>
      </c>
      <c r="G48" s="383">
        <v>0</v>
      </c>
      <c r="H48" s="36">
        <v>12972.189625000001</v>
      </c>
      <c r="I48" s="384" t="s">
        <v>864</v>
      </c>
    </row>
    <row r="49" spans="1:9" x14ac:dyDescent="0.2">
      <c r="A49" s="382">
        <v>7034</v>
      </c>
      <c r="B49" s="385">
        <v>42815</v>
      </c>
      <c r="C49" s="386" t="s">
        <v>16</v>
      </c>
      <c r="D49" s="44" t="s">
        <v>886</v>
      </c>
      <c r="E49" s="44"/>
      <c r="F49" s="36">
        <v>484.63</v>
      </c>
      <c r="G49" s="383">
        <v>0</v>
      </c>
      <c r="H49" s="36">
        <v>25256.422624999999</v>
      </c>
      <c r="I49" s="384" t="s">
        <v>864</v>
      </c>
    </row>
    <row r="50" spans="1:9" x14ac:dyDescent="0.2">
      <c r="A50" s="382">
        <v>7034</v>
      </c>
      <c r="B50" s="385">
        <v>42815</v>
      </c>
      <c r="C50" s="386" t="s">
        <v>16</v>
      </c>
      <c r="D50" s="44" t="s">
        <v>887</v>
      </c>
      <c r="E50" s="44"/>
      <c r="F50" s="36">
        <v>61.44</v>
      </c>
      <c r="G50" s="383">
        <v>0</v>
      </c>
      <c r="H50" s="36">
        <v>25194.982625000001</v>
      </c>
      <c r="I50" s="384" t="s">
        <v>864</v>
      </c>
    </row>
    <row r="51" spans="1:9" x14ac:dyDescent="0.2">
      <c r="A51" s="389">
        <v>6957</v>
      </c>
      <c r="B51" s="13">
        <v>42309</v>
      </c>
      <c r="C51" s="14" t="s">
        <v>107</v>
      </c>
      <c r="D51" s="12" t="s">
        <v>888</v>
      </c>
      <c r="E51" s="4"/>
      <c r="F51" s="4">
        <v>40.75</v>
      </c>
      <c r="G51" s="383">
        <v>0</v>
      </c>
      <c r="H51" s="36">
        <v>-23550</v>
      </c>
      <c r="I51" s="384" t="s">
        <v>864</v>
      </c>
    </row>
    <row r="52" spans="1:9" x14ac:dyDescent="0.2">
      <c r="A52" s="387">
        <v>6821</v>
      </c>
      <c r="B52" s="388">
        <v>42430</v>
      </c>
      <c r="C52" s="27" t="s">
        <v>107</v>
      </c>
      <c r="D52" s="15" t="s">
        <v>889</v>
      </c>
      <c r="E52" s="15"/>
      <c r="F52" s="383">
        <v>65.47</v>
      </c>
      <c r="G52" s="383">
        <v>0</v>
      </c>
      <c r="H52" s="4">
        <v>-5627.29</v>
      </c>
      <c r="I52" s="384" t="s">
        <v>864</v>
      </c>
    </row>
    <row r="53" spans="1:9" x14ac:dyDescent="0.2">
      <c r="A53" s="387">
        <v>6851</v>
      </c>
      <c r="B53" s="388">
        <v>42479</v>
      </c>
      <c r="C53" s="27" t="s">
        <v>107</v>
      </c>
      <c r="D53" s="15" t="s">
        <v>890</v>
      </c>
      <c r="E53" s="15"/>
      <c r="F53" s="383">
        <v>38.74</v>
      </c>
      <c r="G53" s="383">
        <v>0</v>
      </c>
      <c r="H53" s="4">
        <v>23564.45</v>
      </c>
      <c r="I53" s="384" t="s">
        <v>864</v>
      </c>
    </row>
    <row r="54" spans="1:9" x14ac:dyDescent="0.2">
      <c r="A54" s="387">
        <v>6886</v>
      </c>
      <c r="B54" s="388">
        <v>42528</v>
      </c>
      <c r="C54" s="27" t="s">
        <v>107</v>
      </c>
      <c r="D54" s="15" t="s">
        <v>891</v>
      </c>
      <c r="E54" s="15"/>
      <c r="F54" s="383">
        <v>45.17</v>
      </c>
      <c r="G54" s="383">
        <v>0</v>
      </c>
      <c r="H54" s="4">
        <v>-1055.46</v>
      </c>
      <c r="I54" s="384" t="s">
        <v>864</v>
      </c>
    </row>
    <row r="55" spans="1:9" x14ac:dyDescent="0.2">
      <c r="A55" s="382">
        <v>6927</v>
      </c>
      <c r="B55" s="47">
        <v>42619</v>
      </c>
      <c r="C55" s="27" t="s">
        <v>107</v>
      </c>
      <c r="D55" s="15" t="s">
        <v>892</v>
      </c>
      <c r="E55" s="383"/>
      <c r="F55" s="36">
        <v>191.98</v>
      </c>
      <c r="G55" s="383">
        <v>0</v>
      </c>
      <c r="H55" s="36">
        <v>-12220.85</v>
      </c>
      <c r="I55" s="384" t="s">
        <v>864</v>
      </c>
    </row>
    <row r="56" spans="1:9" x14ac:dyDescent="0.2">
      <c r="A56" s="389">
        <v>6954</v>
      </c>
      <c r="B56" s="13">
        <v>42675</v>
      </c>
      <c r="C56" s="318" t="s">
        <v>107</v>
      </c>
      <c r="D56" s="316" t="s">
        <v>708</v>
      </c>
      <c r="E56" s="4"/>
      <c r="F56" s="4">
        <v>163.72999999999999</v>
      </c>
      <c r="G56" s="383">
        <v>0</v>
      </c>
      <c r="H56" s="36">
        <v>-20850.68</v>
      </c>
      <c r="I56" s="384" t="s">
        <v>864</v>
      </c>
    </row>
    <row r="57" spans="1:9" x14ac:dyDescent="0.2">
      <c r="A57" s="382">
        <v>7016</v>
      </c>
      <c r="B57" s="385">
        <v>42787</v>
      </c>
      <c r="C57" s="386" t="s">
        <v>107</v>
      </c>
      <c r="D57" s="44" t="s">
        <v>888</v>
      </c>
      <c r="E57" s="44"/>
      <c r="F57" s="36">
        <v>36.75</v>
      </c>
      <c r="G57" s="383">
        <v>0</v>
      </c>
      <c r="H57" s="36">
        <v>12506.719625</v>
      </c>
      <c r="I57" s="384" t="s">
        <v>864</v>
      </c>
    </row>
    <row r="58" spans="1:9" x14ac:dyDescent="0.2">
      <c r="A58" s="387">
        <v>6827</v>
      </c>
      <c r="B58" s="388">
        <v>42430</v>
      </c>
      <c r="C58" s="27" t="s">
        <v>63</v>
      </c>
      <c r="D58" s="15" t="s">
        <v>893</v>
      </c>
      <c r="E58" s="15"/>
      <c r="F58" s="383">
        <v>1441.73</v>
      </c>
      <c r="G58" s="383">
        <v>0</v>
      </c>
      <c r="H58" s="4">
        <v>-8608.02</v>
      </c>
      <c r="I58" s="384" t="s">
        <v>864</v>
      </c>
    </row>
    <row r="59" spans="1:9" x14ac:dyDescent="0.2">
      <c r="A59" s="387">
        <v>6863</v>
      </c>
      <c r="B59" s="388">
        <v>42493</v>
      </c>
      <c r="C59" s="27" t="s">
        <v>63</v>
      </c>
      <c r="D59" s="15" t="s">
        <v>894</v>
      </c>
      <c r="E59" s="15"/>
      <c r="F59" s="383">
        <v>1922.26</v>
      </c>
      <c r="G59" s="383">
        <v>0</v>
      </c>
      <c r="H59" s="4">
        <v>-18293.259999999998</v>
      </c>
      <c r="I59" s="384" t="s">
        <v>864</v>
      </c>
    </row>
    <row r="60" spans="1:9" x14ac:dyDescent="0.2">
      <c r="A60" s="387">
        <v>6887</v>
      </c>
      <c r="B60" s="388">
        <v>42528</v>
      </c>
      <c r="C60" s="27" t="s">
        <v>63</v>
      </c>
      <c r="D60" s="15" t="s">
        <v>895</v>
      </c>
      <c r="E60" s="15"/>
      <c r="F60" s="383">
        <v>2798.47</v>
      </c>
      <c r="G60" s="383">
        <v>0</v>
      </c>
      <c r="H60" s="4">
        <v>-3853.93</v>
      </c>
      <c r="I60" s="384" t="s">
        <v>864</v>
      </c>
    </row>
    <row r="61" spans="1:9" x14ac:dyDescent="0.2">
      <c r="A61" s="382">
        <v>7017</v>
      </c>
      <c r="B61" s="385">
        <v>42787</v>
      </c>
      <c r="C61" s="386" t="s">
        <v>63</v>
      </c>
      <c r="D61" s="44" t="s">
        <v>712</v>
      </c>
      <c r="E61" s="44"/>
      <c r="F61" s="36">
        <v>3500</v>
      </c>
      <c r="G61" s="383">
        <v>0</v>
      </c>
      <c r="H61" s="36">
        <v>9006.7196249999997</v>
      </c>
      <c r="I61" s="384" t="s">
        <v>864</v>
      </c>
    </row>
    <row r="62" spans="1:9" x14ac:dyDescent="0.2">
      <c r="A62" s="387">
        <v>6907</v>
      </c>
      <c r="B62" s="47">
        <v>42570</v>
      </c>
      <c r="C62" s="27" t="s">
        <v>117</v>
      </c>
      <c r="D62" s="15" t="s">
        <v>896</v>
      </c>
      <c r="E62" s="383"/>
      <c r="F62" s="383">
        <v>575.04999999999995</v>
      </c>
      <c r="G62" s="383">
        <v>0</v>
      </c>
      <c r="H62" s="36">
        <v>-2892.61</v>
      </c>
      <c r="I62" s="384" t="s">
        <v>864</v>
      </c>
    </row>
    <row r="63" spans="1:9" x14ac:dyDescent="0.2">
      <c r="A63" s="387">
        <v>6908</v>
      </c>
      <c r="B63" s="47">
        <v>42570</v>
      </c>
      <c r="C63" s="27" t="s">
        <v>117</v>
      </c>
      <c r="D63" s="15" t="s">
        <v>897</v>
      </c>
      <c r="E63" s="383"/>
      <c r="F63" s="383">
        <v>27.45</v>
      </c>
      <c r="G63" s="383">
        <v>0</v>
      </c>
      <c r="H63" s="36">
        <v>-2920.06</v>
      </c>
      <c r="I63" s="384" t="s">
        <v>864</v>
      </c>
    </row>
    <row r="64" spans="1:9" x14ac:dyDescent="0.2">
      <c r="A64" s="389">
        <v>6790</v>
      </c>
      <c r="B64" s="13">
        <v>42388</v>
      </c>
      <c r="C64" s="14" t="s">
        <v>442</v>
      </c>
      <c r="D64" s="12" t="s">
        <v>898</v>
      </c>
      <c r="E64" s="12"/>
      <c r="F64" s="383">
        <v>1473.23</v>
      </c>
      <c r="G64" s="383">
        <v>0</v>
      </c>
      <c r="H64" s="4">
        <v>-7785.3</v>
      </c>
      <c r="I64" s="384" t="s">
        <v>864</v>
      </c>
    </row>
    <row r="65" spans="1:9" x14ac:dyDescent="0.2">
      <c r="A65" s="382">
        <v>6989</v>
      </c>
      <c r="B65" s="47">
        <v>42738</v>
      </c>
      <c r="C65" s="27" t="s">
        <v>442</v>
      </c>
      <c r="D65" s="15" t="s">
        <v>899</v>
      </c>
      <c r="E65" s="383"/>
      <c r="F65" s="36">
        <v>990.11</v>
      </c>
      <c r="G65" s="383">
        <v>0</v>
      </c>
      <c r="H65" s="36">
        <v>1819.34</v>
      </c>
      <c r="I65" s="384" t="s">
        <v>864</v>
      </c>
    </row>
    <row r="66" spans="1:9" x14ac:dyDescent="0.2">
      <c r="A66" s="389">
        <v>6788</v>
      </c>
      <c r="B66" s="13">
        <v>42374</v>
      </c>
      <c r="C66" s="14" t="s">
        <v>452</v>
      </c>
      <c r="D66" s="12" t="s">
        <v>900</v>
      </c>
      <c r="E66" s="12"/>
      <c r="F66" s="383">
        <v>250</v>
      </c>
      <c r="G66" s="383">
        <v>0</v>
      </c>
      <c r="H66" s="4">
        <v>-4802.82</v>
      </c>
      <c r="I66" s="384" t="s">
        <v>901</v>
      </c>
    </row>
    <row r="67" spans="1:9" x14ac:dyDescent="0.2">
      <c r="A67" s="387">
        <v>6824</v>
      </c>
      <c r="B67" s="388">
        <v>42430</v>
      </c>
      <c r="C67" s="27" t="s">
        <v>452</v>
      </c>
      <c r="D67" s="15" t="s">
        <v>902</v>
      </c>
      <c r="E67" s="15"/>
      <c r="F67" s="383">
        <v>500</v>
      </c>
      <c r="G67" s="383">
        <v>0</v>
      </c>
      <c r="H67" s="4">
        <v>-6652.29</v>
      </c>
      <c r="I67" s="384" t="s">
        <v>901</v>
      </c>
    </row>
    <row r="68" spans="1:9" x14ac:dyDescent="0.2">
      <c r="A68" s="387">
        <v>6841</v>
      </c>
      <c r="B68" s="388">
        <v>42465</v>
      </c>
      <c r="C68" s="27" t="s">
        <v>903</v>
      </c>
      <c r="D68" s="15" t="s">
        <v>904</v>
      </c>
      <c r="E68" s="15"/>
      <c r="F68" s="383">
        <v>10000</v>
      </c>
      <c r="G68" s="383">
        <v>0</v>
      </c>
      <c r="H68" s="4">
        <v>26750.66</v>
      </c>
      <c r="I68" s="384" t="s">
        <v>901</v>
      </c>
    </row>
    <row r="69" spans="1:9" x14ac:dyDescent="0.2">
      <c r="A69" s="387">
        <v>6842</v>
      </c>
      <c r="B69" s="388">
        <v>42465</v>
      </c>
      <c r="C69" s="27" t="s">
        <v>905</v>
      </c>
      <c r="D69" s="15" t="s">
        <v>906</v>
      </c>
      <c r="E69" s="15"/>
      <c r="F69" s="383">
        <v>150</v>
      </c>
      <c r="G69" s="383">
        <v>0</v>
      </c>
      <c r="H69" s="4">
        <v>26600.66</v>
      </c>
      <c r="I69" s="384" t="s">
        <v>901</v>
      </c>
    </row>
    <row r="70" spans="1:9" x14ac:dyDescent="0.2">
      <c r="A70" s="387">
        <v>6826</v>
      </c>
      <c r="B70" s="388">
        <v>42430</v>
      </c>
      <c r="C70" s="27" t="s">
        <v>121</v>
      </c>
      <c r="D70" s="15" t="s">
        <v>907</v>
      </c>
      <c r="E70" s="15"/>
      <c r="F70" s="383">
        <v>250</v>
      </c>
      <c r="G70" s="383">
        <v>0</v>
      </c>
      <c r="H70" s="4">
        <v>-7166.29</v>
      </c>
      <c r="I70" s="384" t="s">
        <v>901</v>
      </c>
    </row>
    <row r="71" spans="1:9" x14ac:dyDescent="0.2">
      <c r="A71" s="389">
        <v>6782</v>
      </c>
      <c r="B71" s="13">
        <v>42374</v>
      </c>
      <c r="C71" s="14" t="s">
        <v>459</v>
      </c>
      <c r="D71" s="12" t="s">
        <v>908</v>
      </c>
      <c r="E71" s="12"/>
      <c r="F71" s="383">
        <v>223.8</v>
      </c>
      <c r="G71" s="383">
        <v>0</v>
      </c>
      <c r="H71" s="4">
        <v>-609.34</v>
      </c>
      <c r="I71" s="384" t="s">
        <v>901</v>
      </c>
    </row>
    <row r="72" spans="1:9" x14ac:dyDescent="0.2">
      <c r="A72" s="387">
        <v>6899</v>
      </c>
      <c r="B72" s="388">
        <v>42542</v>
      </c>
      <c r="C72" s="27" t="s">
        <v>459</v>
      </c>
      <c r="D72" s="15" t="s">
        <v>908</v>
      </c>
      <c r="E72" s="15"/>
      <c r="F72" s="383">
        <v>110</v>
      </c>
      <c r="G72" s="383">
        <v>0</v>
      </c>
      <c r="H72" s="4">
        <v>-9764.9</v>
      </c>
      <c r="I72" s="384" t="s">
        <v>901</v>
      </c>
    </row>
    <row r="73" spans="1:9" x14ac:dyDescent="0.2">
      <c r="A73" s="382">
        <v>7007</v>
      </c>
      <c r="B73" s="385">
        <v>42773</v>
      </c>
      <c r="C73" s="386" t="s">
        <v>459</v>
      </c>
      <c r="D73" s="44" t="s">
        <v>717</v>
      </c>
      <c r="E73" s="44"/>
      <c r="F73" s="36">
        <v>426.8</v>
      </c>
      <c r="G73" s="383">
        <v>0</v>
      </c>
      <c r="H73" s="36">
        <v>13737.38</v>
      </c>
      <c r="I73" s="384" t="s">
        <v>901</v>
      </c>
    </row>
    <row r="74" spans="1:9" x14ac:dyDescent="0.2">
      <c r="A74" s="389">
        <v>6919</v>
      </c>
      <c r="B74" s="13">
        <v>42598</v>
      </c>
      <c r="C74" s="14" t="s">
        <v>124</v>
      </c>
      <c r="D74" s="12" t="s">
        <v>909</v>
      </c>
      <c r="E74" s="4"/>
      <c r="F74" s="4">
        <v>381.14</v>
      </c>
      <c r="G74" s="383">
        <v>0</v>
      </c>
      <c r="H74" s="36">
        <v>-11510.17</v>
      </c>
      <c r="I74" s="384" t="s">
        <v>901</v>
      </c>
    </row>
    <row r="75" spans="1:9" x14ac:dyDescent="0.2">
      <c r="A75" s="382">
        <v>6972</v>
      </c>
      <c r="B75" s="47">
        <v>42710</v>
      </c>
      <c r="C75" s="27" t="s">
        <v>462</v>
      </c>
      <c r="D75" s="15" t="s">
        <v>719</v>
      </c>
      <c r="E75" s="383"/>
      <c r="F75" s="36">
        <v>2000</v>
      </c>
      <c r="G75" s="383">
        <v>0</v>
      </c>
      <c r="H75" s="36">
        <v>-7131.2</v>
      </c>
      <c r="I75" s="384" t="s">
        <v>901</v>
      </c>
    </row>
    <row r="76" spans="1:9" x14ac:dyDescent="0.2">
      <c r="A76" s="387">
        <v>6855</v>
      </c>
      <c r="B76" s="388">
        <v>42479</v>
      </c>
      <c r="C76" s="27" t="s">
        <v>465</v>
      </c>
      <c r="D76" s="15" t="s">
        <v>910</v>
      </c>
      <c r="E76" s="15"/>
      <c r="F76" s="383">
        <v>350</v>
      </c>
      <c r="G76" s="383">
        <v>0</v>
      </c>
      <c r="H76" s="4">
        <v>22860.25</v>
      </c>
      <c r="I76" s="384" t="s">
        <v>901</v>
      </c>
    </row>
    <row r="77" spans="1:9" x14ac:dyDescent="0.2">
      <c r="A77" s="382">
        <v>6991</v>
      </c>
      <c r="B77" s="47">
        <v>42738</v>
      </c>
      <c r="C77" s="27" t="s">
        <v>131</v>
      </c>
      <c r="D77" s="15" t="s">
        <v>720</v>
      </c>
      <c r="E77" s="383"/>
      <c r="F77" s="36">
        <v>500</v>
      </c>
      <c r="G77" s="383">
        <v>0</v>
      </c>
      <c r="H77" s="36">
        <v>1269.3399999999999</v>
      </c>
      <c r="I77" s="384" t="s">
        <v>901</v>
      </c>
    </row>
    <row r="78" spans="1:9" x14ac:dyDescent="0.2">
      <c r="A78" s="387">
        <v>6891</v>
      </c>
      <c r="B78" s="388">
        <v>43623</v>
      </c>
      <c r="C78" s="27" t="s">
        <v>468</v>
      </c>
      <c r="D78" s="15" t="s">
        <v>911</v>
      </c>
      <c r="E78" s="15"/>
      <c r="F78" s="383">
        <v>500</v>
      </c>
      <c r="G78" s="383">
        <v>0</v>
      </c>
      <c r="H78" s="4">
        <v>-4443.4799999999996</v>
      </c>
      <c r="I78" s="384" t="s">
        <v>901</v>
      </c>
    </row>
    <row r="79" spans="1:9" x14ac:dyDescent="0.2">
      <c r="A79" s="382">
        <v>6951</v>
      </c>
      <c r="B79" s="47">
        <v>42661</v>
      </c>
      <c r="C79" s="27" t="s">
        <v>133</v>
      </c>
      <c r="D79" s="15" t="s">
        <v>912</v>
      </c>
      <c r="E79" s="383"/>
      <c r="F79" s="36">
        <v>250</v>
      </c>
      <c r="G79" s="383">
        <v>0</v>
      </c>
      <c r="H79" s="36">
        <v>-11606.51</v>
      </c>
      <c r="I79" s="384" t="s">
        <v>901</v>
      </c>
    </row>
    <row r="80" spans="1:9" x14ac:dyDescent="0.2">
      <c r="A80" s="387">
        <v>6844</v>
      </c>
      <c r="B80" s="388">
        <v>42465</v>
      </c>
      <c r="C80" s="27" t="s">
        <v>182</v>
      </c>
      <c r="D80" s="15" t="s">
        <v>913</v>
      </c>
      <c r="E80" s="15"/>
      <c r="F80" s="383">
        <v>1450</v>
      </c>
      <c r="G80" s="383">
        <v>0</v>
      </c>
      <c r="H80" s="4">
        <v>24650.66</v>
      </c>
      <c r="I80" s="12" t="s">
        <v>914</v>
      </c>
    </row>
    <row r="81" spans="1:9" x14ac:dyDescent="0.2">
      <c r="A81" s="389">
        <v>6783</v>
      </c>
      <c r="B81" s="13">
        <v>42374</v>
      </c>
      <c r="C81" s="14" t="s">
        <v>184</v>
      </c>
      <c r="D81" s="12" t="s">
        <v>915</v>
      </c>
      <c r="E81" s="12"/>
      <c r="F81" s="383">
        <v>1075</v>
      </c>
      <c r="G81" s="383">
        <v>0</v>
      </c>
      <c r="H81" s="4">
        <v>-1684.34</v>
      </c>
      <c r="I81" s="12" t="s">
        <v>914</v>
      </c>
    </row>
    <row r="82" spans="1:9" x14ac:dyDescent="0.2">
      <c r="A82" s="382">
        <v>6995</v>
      </c>
      <c r="B82" s="47">
        <v>42752</v>
      </c>
      <c r="C82" s="27" t="s">
        <v>184</v>
      </c>
      <c r="D82" s="15" t="s">
        <v>916</v>
      </c>
      <c r="E82" s="383"/>
      <c r="F82" s="36">
        <v>989</v>
      </c>
      <c r="G82" s="383">
        <v>0</v>
      </c>
      <c r="H82" s="36">
        <v>16439.98</v>
      </c>
      <c r="I82" s="12" t="s">
        <v>914</v>
      </c>
    </row>
    <row r="83" spans="1:9" x14ac:dyDescent="0.2">
      <c r="A83" s="387">
        <v>6915</v>
      </c>
      <c r="B83" s="47">
        <v>42598</v>
      </c>
      <c r="C83" s="27" t="s">
        <v>186</v>
      </c>
      <c r="D83" s="15" t="s">
        <v>917</v>
      </c>
      <c r="E83" s="383"/>
      <c r="F83" s="383">
        <v>1000</v>
      </c>
      <c r="G83" s="383">
        <v>0</v>
      </c>
      <c r="H83" s="36">
        <v>-10529.03</v>
      </c>
      <c r="I83" s="12" t="s">
        <v>914</v>
      </c>
    </row>
    <row r="84" spans="1:9" x14ac:dyDescent="0.2">
      <c r="A84" s="389">
        <v>6955</v>
      </c>
      <c r="B84" s="13">
        <v>42675</v>
      </c>
      <c r="C84" s="318" t="s">
        <v>487</v>
      </c>
      <c r="D84" s="12" t="s">
        <v>918</v>
      </c>
      <c r="E84" s="4"/>
      <c r="F84" s="4">
        <v>2500</v>
      </c>
      <c r="G84" s="383">
        <v>0</v>
      </c>
      <c r="H84" s="36">
        <v>-23350.68</v>
      </c>
      <c r="I84" s="12" t="s">
        <v>914</v>
      </c>
    </row>
    <row r="85" spans="1:9" x14ac:dyDescent="0.2">
      <c r="A85" s="387">
        <v>6835</v>
      </c>
      <c r="B85" s="388">
        <v>42444</v>
      </c>
      <c r="C85" s="27" t="s">
        <v>490</v>
      </c>
      <c r="D85" s="15" t="s">
        <v>919</v>
      </c>
      <c r="E85" s="15"/>
      <c r="F85" s="383">
        <v>200</v>
      </c>
      <c r="G85" s="383">
        <v>0</v>
      </c>
      <c r="H85" s="4">
        <v>14170.17</v>
      </c>
      <c r="I85" s="12" t="s">
        <v>914</v>
      </c>
    </row>
    <row r="86" spans="1:9" x14ac:dyDescent="0.2">
      <c r="A86" s="387">
        <v>6845</v>
      </c>
      <c r="B86" s="388">
        <v>42465</v>
      </c>
      <c r="C86" s="27" t="s">
        <v>490</v>
      </c>
      <c r="D86" s="15" t="s">
        <v>920</v>
      </c>
      <c r="E86" s="15"/>
      <c r="F86" s="383">
        <v>50</v>
      </c>
      <c r="G86" s="383">
        <v>0</v>
      </c>
      <c r="H86" s="4">
        <v>24600.66</v>
      </c>
      <c r="I86" s="12" t="s">
        <v>914</v>
      </c>
    </row>
    <row r="87" spans="1:9" x14ac:dyDescent="0.2">
      <c r="A87" s="387">
        <v>6846</v>
      </c>
      <c r="B87" s="388">
        <v>42465</v>
      </c>
      <c r="C87" s="27" t="s">
        <v>490</v>
      </c>
      <c r="D87" s="15" t="s">
        <v>921</v>
      </c>
      <c r="E87" s="15"/>
      <c r="F87" s="383">
        <v>50</v>
      </c>
      <c r="G87" s="383">
        <v>0</v>
      </c>
      <c r="H87" s="4">
        <v>24550.66</v>
      </c>
      <c r="I87" s="12" t="s">
        <v>914</v>
      </c>
    </row>
    <row r="88" spans="1:9" x14ac:dyDescent="0.2">
      <c r="A88" s="387">
        <v>6847</v>
      </c>
      <c r="B88" s="388">
        <v>42465</v>
      </c>
      <c r="C88" s="27" t="s">
        <v>490</v>
      </c>
      <c r="D88" s="15" t="s">
        <v>922</v>
      </c>
      <c r="E88" s="15"/>
      <c r="F88" s="383">
        <v>50</v>
      </c>
      <c r="G88" s="383">
        <v>0</v>
      </c>
      <c r="H88" s="4">
        <v>24500.66</v>
      </c>
      <c r="I88" s="12" t="s">
        <v>914</v>
      </c>
    </row>
    <row r="89" spans="1:9" x14ac:dyDescent="0.2">
      <c r="A89" s="389">
        <v>6928</v>
      </c>
      <c r="B89" s="13">
        <v>42619</v>
      </c>
      <c r="C89" s="318" t="s">
        <v>490</v>
      </c>
      <c r="D89" s="12" t="s">
        <v>923</v>
      </c>
      <c r="E89" s="4"/>
      <c r="F89" s="4">
        <v>25</v>
      </c>
      <c r="G89" s="383">
        <v>0</v>
      </c>
      <c r="H89" s="36">
        <v>-12245.85</v>
      </c>
      <c r="I89" s="12" t="s">
        <v>914</v>
      </c>
    </row>
    <row r="90" spans="1:9" x14ac:dyDescent="0.2">
      <c r="A90" s="382">
        <v>7037</v>
      </c>
      <c r="B90" s="385">
        <v>42815</v>
      </c>
      <c r="C90" s="386" t="s">
        <v>490</v>
      </c>
      <c r="D90" s="44" t="s">
        <v>924</v>
      </c>
      <c r="E90" s="44"/>
      <c r="F90" s="36">
        <v>200</v>
      </c>
      <c r="G90" s="383">
        <v>0</v>
      </c>
      <c r="H90" s="36">
        <v>24352.082624999999</v>
      </c>
      <c r="I90" s="12" t="s">
        <v>914</v>
      </c>
    </row>
    <row r="91" spans="1:9" x14ac:dyDescent="0.2">
      <c r="A91" s="389">
        <v>6953</v>
      </c>
      <c r="B91" s="13">
        <v>42661</v>
      </c>
      <c r="C91" s="318" t="s">
        <v>564</v>
      </c>
      <c r="D91" s="316" t="s">
        <v>785</v>
      </c>
      <c r="E91" s="4"/>
      <c r="F91" s="4">
        <v>10000</v>
      </c>
      <c r="G91" s="383">
        <v>0</v>
      </c>
      <c r="H91" s="36">
        <v>-21722.080000000002</v>
      </c>
      <c r="I91" s="12" t="s">
        <v>925</v>
      </c>
    </row>
    <row r="92" spans="1:9" x14ac:dyDescent="0.2">
      <c r="A92" s="387">
        <v>6838</v>
      </c>
      <c r="B92" s="388">
        <v>16897</v>
      </c>
      <c r="C92" s="27" t="s">
        <v>565</v>
      </c>
      <c r="D92" s="15" t="s">
        <v>926</v>
      </c>
      <c r="E92" s="15"/>
      <c r="F92" s="383">
        <v>2033.48</v>
      </c>
      <c r="G92" s="383">
        <v>0</v>
      </c>
      <c r="H92" s="4">
        <v>11909.3</v>
      </c>
      <c r="I92" s="12" t="s">
        <v>925</v>
      </c>
    </row>
    <row r="93" spans="1:9" x14ac:dyDescent="0.2">
      <c r="A93" s="387">
        <v>6861</v>
      </c>
      <c r="B93" s="388">
        <v>42493</v>
      </c>
      <c r="C93" s="27" t="s">
        <v>565</v>
      </c>
      <c r="D93" s="15" t="s">
        <v>926</v>
      </c>
      <c r="E93" s="15"/>
      <c r="F93" s="383">
        <v>66.89</v>
      </c>
      <c r="G93" s="383">
        <v>0</v>
      </c>
      <c r="H93" s="4">
        <v>-15741</v>
      </c>
      <c r="I93" s="12" t="s">
        <v>925</v>
      </c>
    </row>
    <row r="94" spans="1:9" x14ac:dyDescent="0.2">
      <c r="A94" s="387">
        <v>6864</v>
      </c>
      <c r="B94" s="388">
        <v>42493</v>
      </c>
      <c r="C94" s="27" t="s">
        <v>565</v>
      </c>
      <c r="D94" s="15" t="s">
        <v>926</v>
      </c>
      <c r="E94" s="15"/>
      <c r="F94" s="383">
        <v>62.66</v>
      </c>
      <c r="G94" s="383">
        <v>0</v>
      </c>
      <c r="H94" s="4">
        <v>-18355.919999999998</v>
      </c>
      <c r="I94" s="12" t="s">
        <v>925</v>
      </c>
    </row>
    <row r="95" spans="1:9" x14ac:dyDescent="0.2">
      <c r="A95" s="387">
        <v>6865</v>
      </c>
      <c r="B95" s="388">
        <v>42493</v>
      </c>
      <c r="C95" s="27" t="s">
        <v>565</v>
      </c>
      <c r="D95" s="15" t="s">
        <v>926</v>
      </c>
      <c r="E95" s="15"/>
      <c r="F95" s="383">
        <v>30.2</v>
      </c>
      <c r="G95" s="383">
        <v>0</v>
      </c>
      <c r="H95" s="4">
        <v>-18386.12</v>
      </c>
      <c r="I95" s="12" t="s">
        <v>925</v>
      </c>
    </row>
    <row r="96" spans="1:9" x14ac:dyDescent="0.2">
      <c r="A96" s="387">
        <v>6866</v>
      </c>
      <c r="B96" s="388">
        <v>42493</v>
      </c>
      <c r="C96" s="27" t="s">
        <v>565</v>
      </c>
      <c r="D96" s="15" t="s">
        <v>926</v>
      </c>
      <c r="E96" s="15"/>
      <c r="F96" s="383">
        <v>236.86</v>
      </c>
      <c r="G96" s="383">
        <v>0</v>
      </c>
      <c r="H96" s="4">
        <v>-18622.98</v>
      </c>
      <c r="I96" s="12" t="s">
        <v>925</v>
      </c>
    </row>
    <row r="97" spans="1:9" x14ac:dyDescent="0.2">
      <c r="A97" s="387">
        <v>6879</v>
      </c>
      <c r="B97" s="388">
        <v>42507</v>
      </c>
      <c r="C97" s="27" t="s">
        <v>565</v>
      </c>
      <c r="D97" s="15" t="s">
        <v>927</v>
      </c>
      <c r="E97" s="15"/>
      <c r="F97" s="383">
        <v>204.46</v>
      </c>
      <c r="G97" s="383">
        <v>0</v>
      </c>
      <c r="H97" s="4">
        <v>-30010.89</v>
      </c>
      <c r="I97" s="12" t="s">
        <v>925</v>
      </c>
    </row>
    <row r="98" spans="1:9" x14ac:dyDescent="0.2">
      <c r="A98" s="389">
        <v>6941</v>
      </c>
      <c r="B98" s="13">
        <v>42647</v>
      </c>
      <c r="C98" s="14" t="s">
        <v>565</v>
      </c>
      <c r="D98" s="12" t="s">
        <v>786</v>
      </c>
      <c r="E98" s="4"/>
      <c r="F98" s="4">
        <v>108.08</v>
      </c>
      <c r="G98" s="383">
        <v>0</v>
      </c>
      <c r="H98" s="36">
        <v>-9680.2900000000009</v>
      </c>
      <c r="I98" s="12" t="s">
        <v>925</v>
      </c>
    </row>
    <row r="99" spans="1:9" x14ac:dyDescent="0.2">
      <c r="A99" s="382">
        <v>6967</v>
      </c>
      <c r="B99" s="47">
        <v>42710</v>
      </c>
      <c r="C99" s="27" t="s">
        <v>565</v>
      </c>
      <c r="D99" s="15" t="s">
        <v>787</v>
      </c>
      <c r="E99" s="383"/>
      <c r="F99" s="36">
        <v>41.51</v>
      </c>
      <c r="G99" s="383">
        <v>0</v>
      </c>
      <c r="H99" s="36">
        <v>-2789.61</v>
      </c>
      <c r="I99" s="12" t="s">
        <v>925</v>
      </c>
    </row>
    <row r="100" spans="1:9" x14ac:dyDescent="0.2">
      <c r="A100" s="382">
        <v>6996</v>
      </c>
      <c r="B100" s="385">
        <v>42752</v>
      </c>
      <c r="C100" s="386" t="s">
        <v>565</v>
      </c>
      <c r="D100" s="44" t="s">
        <v>667</v>
      </c>
      <c r="E100" s="44"/>
      <c r="F100" s="36">
        <v>250</v>
      </c>
      <c r="G100" s="383">
        <v>0</v>
      </c>
      <c r="H100" s="36">
        <v>16189.98</v>
      </c>
      <c r="I100" s="12" t="s">
        <v>925</v>
      </c>
    </row>
    <row r="101" spans="1:9" x14ac:dyDescent="0.2">
      <c r="A101" s="382">
        <v>7027</v>
      </c>
      <c r="B101" s="385">
        <v>42801</v>
      </c>
      <c r="C101" s="386" t="s">
        <v>565</v>
      </c>
      <c r="D101" s="44" t="s">
        <v>667</v>
      </c>
      <c r="E101" s="44"/>
      <c r="F101" s="36">
        <v>305.26</v>
      </c>
      <c r="G101" s="383">
        <v>0</v>
      </c>
      <c r="H101" s="36">
        <v>5191.3626249999998</v>
      </c>
      <c r="I101" s="12" t="s">
        <v>925</v>
      </c>
    </row>
    <row r="102" spans="1:9" x14ac:dyDescent="0.2">
      <c r="A102" s="387">
        <v>6892</v>
      </c>
      <c r="B102" s="388">
        <v>42528</v>
      </c>
      <c r="C102" s="27" t="s">
        <v>928</v>
      </c>
      <c r="D102" s="15" t="s">
        <v>168</v>
      </c>
      <c r="E102" s="15"/>
      <c r="F102" s="383">
        <v>10000</v>
      </c>
      <c r="G102" s="383">
        <v>0</v>
      </c>
      <c r="H102" s="4">
        <v>-14443.48</v>
      </c>
      <c r="I102" s="12" t="s">
        <v>925</v>
      </c>
    </row>
    <row r="103" spans="1:9" x14ac:dyDescent="0.2">
      <c r="A103" s="389">
        <v>6920</v>
      </c>
      <c r="B103" s="13">
        <v>42619</v>
      </c>
      <c r="C103" s="14" t="s">
        <v>566</v>
      </c>
      <c r="D103" s="12" t="s">
        <v>929</v>
      </c>
      <c r="E103" s="4"/>
      <c r="F103" s="4">
        <v>643.5</v>
      </c>
      <c r="G103" s="383">
        <v>0</v>
      </c>
      <c r="H103" s="36">
        <v>-11425.67</v>
      </c>
      <c r="I103" s="12" t="s">
        <v>925</v>
      </c>
    </row>
    <row r="104" spans="1:9" x14ac:dyDescent="0.2">
      <c r="A104" s="382">
        <v>6944</v>
      </c>
      <c r="B104" s="47">
        <v>42661</v>
      </c>
      <c r="C104" s="27" t="s">
        <v>566</v>
      </c>
      <c r="D104" s="15" t="s">
        <v>929</v>
      </c>
      <c r="E104" s="383"/>
      <c r="F104" s="36">
        <v>11.59</v>
      </c>
      <c r="G104" s="383">
        <v>0</v>
      </c>
      <c r="H104" s="36">
        <v>-9908.41</v>
      </c>
      <c r="I104" s="12" t="s">
        <v>925</v>
      </c>
    </row>
    <row r="105" spans="1:9" x14ac:dyDescent="0.2">
      <c r="A105" s="389">
        <v>6905</v>
      </c>
      <c r="B105" s="13">
        <v>42570</v>
      </c>
      <c r="C105" s="318" t="s">
        <v>567</v>
      </c>
      <c r="D105" s="12" t="s">
        <v>930</v>
      </c>
      <c r="E105" s="4"/>
      <c r="F105" s="4">
        <v>62.38</v>
      </c>
      <c r="G105" s="383">
        <v>0</v>
      </c>
      <c r="H105" s="36">
        <v>-2168.2199999999998</v>
      </c>
      <c r="I105" s="12" t="s">
        <v>925</v>
      </c>
    </row>
    <row r="106" spans="1:9" x14ac:dyDescent="0.2">
      <c r="A106" s="389">
        <v>6985</v>
      </c>
      <c r="B106" s="13">
        <v>42738</v>
      </c>
      <c r="C106" s="318" t="s">
        <v>568</v>
      </c>
      <c r="D106" s="12" t="s">
        <v>790</v>
      </c>
      <c r="E106" s="4"/>
      <c r="F106" s="4">
        <v>55.04</v>
      </c>
      <c r="G106" s="383">
        <v>0</v>
      </c>
      <c r="H106" s="36">
        <v>2895.45</v>
      </c>
      <c r="I106" s="12" t="s">
        <v>925</v>
      </c>
    </row>
    <row r="107" spans="1:9" x14ac:dyDescent="0.2">
      <c r="A107" s="382">
        <v>7005</v>
      </c>
      <c r="B107" s="385">
        <v>42773</v>
      </c>
      <c r="C107" s="386" t="s">
        <v>568</v>
      </c>
      <c r="D107" s="44" t="s">
        <v>931</v>
      </c>
      <c r="E107" s="44"/>
      <c r="F107" s="36">
        <v>143.51</v>
      </c>
      <c r="G107" s="383">
        <v>0</v>
      </c>
      <c r="H107" s="36">
        <v>14267.35</v>
      </c>
      <c r="I107" s="12" t="s">
        <v>925</v>
      </c>
    </row>
    <row r="108" spans="1:9" x14ac:dyDescent="0.2">
      <c r="A108" s="382"/>
      <c r="B108" s="47">
        <v>42570</v>
      </c>
      <c r="C108" s="27" t="s">
        <v>569</v>
      </c>
      <c r="D108" s="15" t="s">
        <v>794</v>
      </c>
      <c r="E108" s="383"/>
      <c r="F108" s="36">
        <v>8</v>
      </c>
      <c r="G108" s="383">
        <v>0</v>
      </c>
      <c r="H108" s="36">
        <v>-17.75</v>
      </c>
      <c r="I108" s="12" t="s">
        <v>925</v>
      </c>
    </row>
    <row r="109" spans="1:9" x14ac:dyDescent="0.2">
      <c r="A109" s="382"/>
      <c r="B109" s="47">
        <v>42598</v>
      </c>
      <c r="C109" s="27" t="s">
        <v>569</v>
      </c>
      <c r="D109" s="15" t="s">
        <v>794</v>
      </c>
      <c r="E109" s="383"/>
      <c r="F109" s="36">
        <v>3</v>
      </c>
      <c r="G109" s="383">
        <v>0</v>
      </c>
      <c r="H109" s="36">
        <v>-4607.74</v>
      </c>
      <c r="I109" s="12" t="s">
        <v>925</v>
      </c>
    </row>
    <row r="110" spans="1:9" x14ac:dyDescent="0.2">
      <c r="A110" s="382"/>
      <c r="B110" s="47">
        <v>42619</v>
      </c>
      <c r="C110" s="27" t="s">
        <v>569</v>
      </c>
      <c r="D110" s="15" t="s">
        <v>794</v>
      </c>
      <c r="E110" s="383"/>
      <c r="F110" s="36">
        <v>2</v>
      </c>
      <c r="G110" s="383">
        <v>0</v>
      </c>
      <c r="H110" s="36">
        <v>-11354.17</v>
      </c>
      <c r="I110" s="12" t="s">
        <v>925</v>
      </c>
    </row>
    <row r="111" spans="1:9" x14ac:dyDescent="0.2">
      <c r="A111" s="389">
        <v>6789</v>
      </c>
      <c r="B111" s="13">
        <v>42388</v>
      </c>
      <c r="C111" s="14" t="s">
        <v>190</v>
      </c>
      <c r="D111" s="12" t="s">
        <v>795</v>
      </c>
      <c r="E111" s="12"/>
      <c r="F111" s="383">
        <v>834.75</v>
      </c>
      <c r="G111" s="383">
        <v>0</v>
      </c>
      <c r="H111" s="4">
        <v>-5637.57</v>
      </c>
      <c r="I111" s="12" t="s">
        <v>932</v>
      </c>
    </row>
    <row r="112" spans="1:9" x14ac:dyDescent="0.2">
      <c r="A112" s="382">
        <v>6903</v>
      </c>
      <c r="B112" s="47">
        <v>42570</v>
      </c>
      <c r="C112" s="27" t="s">
        <v>190</v>
      </c>
      <c r="D112" s="15" t="s">
        <v>795</v>
      </c>
      <c r="E112" s="383"/>
      <c r="F112" s="36">
        <v>658.53</v>
      </c>
      <c r="G112" s="383">
        <v>0</v>
      </c>
      <c r="H112" s="36">
        <v>-519.15</v>
      </c>
      <c r="I112" s="12" t="s">
        <v>932</v>
      </c>
    </row>
    <row r="113" spans="1:9" x14ac:dyDescent="0.2">
      <c r="A113" s="389">
        <v>6784</v>
      </c>
      <c r="B113" s="13">
        <v>42374</v>
      </c>
      <c r="C113" s="14" t="s">
        <v>522</v>
      </c>
      <c r="D113" s="12" t="s">
        <v>933</v>
      </c>
      <c r="E113" s="12"/>
      <c r="F113" s="383">
        <v>116.83</v>
      </c>
      <c r="G113" s="383">
        <v>0</v>
      </c>
      <c r="H113" s="4">
        <v>-1801.17</v>
      </c>
      <c r="I113" s="12" t="s">
        <v>932</v>
      </c>
    </row>
    <row r="114" spans="1:9" x14ac:dyDescent="0.2">
      <c r="A114" s="389">
        <v>6789</v>
      </c>
      <c r="B114" s="13">
        <v>42388</v>
      </c>
      <c r="C114" s="14" t="s">
        <v>522</v>
      </c>
      <c r="D114" s="12" t="s">
        <v>934</v>
      </c>
      <c r="E114" s="12"/>
      <c r="F114" s="383">
        <v>436</v>
      </c>
      <c r="G114" s="383">
        <v>0</v>
      </c>
      <c r="H114" s="4"/>
      <c r="I114" s="12" t="s">
        <v>932</v>
      </c>
    </row>
    <row r="115" spans="1:9" x14ac:dyDescent="0.2">
      <c r="A115" s="387">
        <v>6809</v>
      </c>
      <c r="B115" s="388">
        <v>42416</v>
      </c>
      <c r="C115" s="27" t="s">
        <v>522</v>
      </c>
      <c r="D115" s="15" t="s">
        <v>935</v>
      </c>
      <c r="E115" s="15"/>
      <c r="F115" s="383">
        <v>636.74</v>
      </c>
      <c r="G115" s="383">
        <v>0</v>
      </c>
      <c r="H115" s="4">
        <v>-3373.27</v>
      </c>
      <c r="I115" s="12" t="s">
        <v>932</v>
      </c>
    </row>
    <row r="116" spans="1:9" x14ac:dyDescent="0.2">
      <c r="A116" s="387">
        <v>6848</v>
      </c>
      <c r="B116" s="388">
        <v>42479</v>
      </c>
      <c r="C116" s="27" t="s">
        <v>522</v>
      </c>
      <c r="D116" s="15" t="s">
        <v>936</v>
      </c>
      <c r="E116" s="15"/>
      <c r="F116" s="383">
        <v>62.2</v>
      </c>
      <c r="G116" s="383">
        <v>0</v>
      </c>
      <c r="H116" s="4">
        <v>24438.46</v>
      </c>
      <c r="I116" s="12" t="s">
        <v>932</v>
      </c>
    </row>
    <row r="117" spans="1:9" x14ac:dyDescent="0.2">
      <c r="A117" s="387">
        <v>6885</v>
      </c>
      <c r="B117" s="388">
        <v>42528</v>
      </c>
      <c r="C117" s="27" t="s">
        <v>522</v>
      </c>
      <c r="D117" s="15" t="s">
        <v>937</v>
      </c>
      <c r="E117" s="15"/>
      <c r="F117" s="383">
        <v>248.5</v>
      </c>
      <c r="G117" s="383">
        <v>0</v>
      </c>
      <c r="H117" s="4">
        <v>-1010.29</v>
      </c>
      <c r="I117" s="12" t="s">
        <v>932</v>
      </c>
    </row>
    <row r="118" spans="1:9" x14ac:dyDescent="0.2">
      <c r="A118" s="387">
        <v>6895</v>
      </c>
      <c r="B118" s="388">
        <v>42542</v>
      </c>
      <c r="C118" s="27" t="s">
        <v>522</v>
      </c>
      <c r="D118" s="15" t="s">
        <v>938</v>
      </c>
      <c r="E118" s="15"/>
      <c r="F118" s="383">
        <v>173.23</v>
      </c>
      <c r="G118" s="383">
        <v>0</v>
      </c>
      <c r="H118" s="4">
        <v>-9499.83</v>
      </c>
      <c r="I118" s="12" t="s">
        <v>932</v>
      </c>
    </row>
    <row r="119" spans="1:9" x14ac:dyDescent="0.2">
      <c r="A119" s="382">
        <v>6903</v>
      </c>
      <c r="B119" s="47">
        <v>42570</v>
      </c>
      <c r="C119" s="27" t="s">
        <v>522</v>
      </c>
      <c r="D119" s="15" t="s">
        <v>934</v>
      </c>
      <c r="E119" s="383"/>
      <c r="F119" s="36">
        <v>374.73</v>
      </c>
      <c r="G119" s="383">
        <v>0</v>
      </c>
      <c r="H119" s="36">
        <v>-1587.88</v>
      </c>
      <c r="I119" s="12" t="s">
        <v>932</v>
      </c>
    </row>
    <row r="120" spans="1:9" x14ac:dyDescent="0.2">
      <c r="A120" s="382">
        <v>6912</v>
      </c>
      <c r="B120" s="47">
        <v>42598</v>
      </c>
      <c r="C120" s="27" t="s">
        <v>522</v>
      </c>
      <c r="D120" s="15" t="s">
        <v>934</v>
      </c>
      <c r="E120" s="383"/>
      <c r="F120" s="36">
        <v>126.23</v>
      </c>
      <c r="G120" s="383">
        <v>0</v>
      </c>
      <c r="H120" s="36">
        <v>-9158.82</v>
      </c>
      <c r="I120" s="12" t="s">
        <v>932</v>
      </c>
    </row>
    <row r="121" spans="1:9" x14ac:dyDescent="0.2">
      <c r="A121" s="389">
        <v>6923</v>
      </c>
      <c r="B121" s="13">
        <v>42619</v>
      </c>
      <c r="C121" s="318" t="s">
        <v>522</v>
      </c>
      <c r="D121" s="316" t="s">
        <v>934</v>
      </c>
      <c r="E121" s="4"/>
      <c r="F121" s="4">
        <v>177.73</v>
      </c>
      <c r="G121" s="383">
        <v>0</v>
      </c>
      <c r="H121" s="36">
        <v>-11849.22</v>
      </c>
      <c r="I121" s="12" t="s">
        <v>932</v>
      </c>
    </row>
    <row r="122" spans="1:9" x14ac:dyDescent="0.2">
      <c r="A122" s="387">
        <v>6924</v>
      </c>
      <c r="B122" s="47">
        <v>42619</v>
      </c>
      <c r="C122" s="27" t="s">
        <v>522</v>
      </c>
      <c r="D122" s="15" t="s">
        <v>934</v>
      </c>
      <c r="E122" s="383"/>
      <c r="F122" s="383">
        <v>79.650000000000006</v>
      </c>
      <c r="G122" s="383">
        <v>0</v>
      </c>
      <c r="H122" s="36">
        <v>-11928.87</v>
      </c>
      <c r="I122" s="12" t="s">
        <v>932</v>
      </c>
    </row>
    <row r="123" spans="1:9" x14ac:dyDescent="0.2">
      <c r="A123" s="382">
        <v>6946</v>
      </c>
      <c r="B123" s="47">
        <v>42661</v>
      </c>
      <c r="C123" s="27" t="s">
        <v>522</v>
      </c>
      <c r="D123" s="15" t="s">
        <v>934</v>
      </c>
      <c r="E123" s="383"/>
      <c r="F123" s="36">
        <v>51.98</v>
      </c>
      <c r="G123" s="383">
        <v>0</v>
      </c>
      <c r="H123" s="36">
        <v>-10006.290000000001</v>
      </c>
      <c r="I123" s="12" t="s">
        <v>932</v>
      </c>
    </row>
    <row r="124" spans="1:9" x14ac:dyDescent="0.2">
      <c r="A124" s="382">
        <v>6959</v>
      </c>
      <c r="B124" s="47">
        <v>42675</v>
      </c>
      <c r="C124" s="27" t="s">
        <v>522</v>
      </c>
      <c r="D124" s="15" t="s">
        <v>934</v>
      </c>
      <c r="E124" s="383"/>
      <c r="F124" s="36">
        <v>63.42</v>
      </c>
      <c r="G124" s="383">
        <v>0</v>
      </c>
      <c r="H124" s="36">
        <v>-24554.22</v>
      </c>
      <c r="I124" s="12" t="s">
        <v>932</v>
      </c>
    </row>
    <row r="125" spans="1:9" x14ac:dyDescent="0.2">
      <c r="A125" s="382">
        <v>9667</v>
      </c>
      <c r="B125" s="385">
        <v>42752</v>
      </c>
      <c r="C125" s="386" t="s">
        <v>522</v>
      </c>
      <c r="D125" s="44" t="s">
        <v>934</v>
      </c>
      <c r="E125" s="44"/>
      <c r="F125" s="36">
        <v>15.99</v>
      </c>
      <c r="G125" s="383">
        <v>0</v>
      </c>
      <c r="H125" s="36">
        <v>16173.99</v>
      </c>
      <c r="I125" s="12" t="s">
        <v>932</v>
      </c>
    </row>
    <row r="126" spans="1:9" x14ac:dyDescent="0.2">
      <c r="A126" s="382">
        <v>7004</v>
      </c>
      <c r="B126" s="385">
        <v>42773</v>
      </c>
      <c r="C126" s="386" t="s">
        <v>522</v>
      </c>
      <c r="D126" s="44" t="s">
        <v>934</v>
      </c>
      <c r="E126" s="44"/>
      <c r="F126" s="36">
        <v>9.7799999999999994</v>
      </c>
      <c r="G126" s="383">
        <v>0</v>
      </c>
      <c r="H126" s="36">
        <v>14410.86</v>
      </c>
      <c r="I126" s="12" t="s">
        <v>932</v>
      </c>
    </row>
    <row r="127" spans="1:9" x14ac:dyDescent="0.2">
      <c r="A127" s="382">
        <v>7020</v>
      </c>
      <c r="B127" s="385">
        <v>42801</v>
      </c>
      <c r="C127" s="386" t="s">
        <v>522</v>
      </c>
      <c r="D127" s="44" t="s">
        <v>934</v>
      </c>
      <c r="E127" s="44"/>
      <c r="F127" s="36">
        <v>10</v>
      </c>
      <c r="G127" s="383">
        <v>0</v>
      </c>
      <c r="H127" s="36">
        <v>6638.3526250000004</v>
      </c>
      <c r="I127" s="12" t="s">
        <v>932</v>
      </c>
    </row>
    <row r="128" spans="1:9" x14ac:dyDescent="0.2">
      <c r="A128" s="387">
        <v>6829</v>
      </c>
      <c r="B128" s="47">
        <v>43539</v>
      </c>
      <c r="C128" s="27" t="s">
        <v>522</v>
      </c>
      <c r="D128" s="15" t="s">
        <v>934</v>
      </c>
      <c r="E128" s="15"/>
      <c r="F128" s="383">
        <v>41.38</v>
      </c>
      <c r="G128" s="383">
        <v>0</v>
      </c>
      <c r="H128" s="4">
        <v>16580.2</v>
      </c>
      <c r="I128" s="12" t="s">
        <v>932</v>
      </c>
    </row>
    <row r="129" spans="1:9" x14ac:dyDescent="0.2">
      <c r="A129" s="382">
        <v>6913</v>
      </c>
      <c r="B129" s="47">
        <v>42598</v>
      </c>
      <c r="C129" s="27" t="s">
        <v>85</v>
      </c>
      <c r="D129" s="15" t="s">
        <v>797</v>
      </c>
      <c r="E129" s="383"/>
      <c r="F129" s="36">
        <v>95</v>
      </c>
      <c r="G129" s="383">
        <v>0</v>
      </c>
      <c r="H129" s="36">
        <v>-9253.82</v>
      </c>
      <c r="I129" s="12" t="s">
        <v>932</v>
      </c>
    </row>
    <row r="130" spans="1:9" x14ac:dyDescent="0.2">
      <c r="A130" s="387">
        <v>6795</v>
      </c>
      <c r="B130" s="47">
        <v>42402</v>
      </c>
      <c r="C130" s="27" t="s">
        <v>88</v>
      </c>
      <c r="D130" s="15" t="s">
        <v>528</v>
      </c>
      <c r="E130" s="15"/>
      <c r="F130" s="383">
        <v>98</v>
      </c>
      <c r="G130" s="383">
        <v>0</v>
      </c>
      <c r="H130" s="4">
        <v>-8774.5</v>
      </c>
      <c r="I130" s="12" t="s">
        <v>932</v>
      </c>
    </row>
    <row r="131" spans="1:9" x14ac:dyDescent="0.2">
      <c r="A131" s="387">
        <v>6808</v>
      </c>
      <c r="B131" s="388">
        <v>42416</v>
      </c>
      <c r="C131" s="27" t="s">
        <v>88</v>
      </c>
      <c r="D131" s="15" t="s">
        <v>528</v>
      </c>
      <c r="E131" s="15"/>
      <c r="F131" s="383">
        <v>16.02</v>
      </c>
      <c r="G131" s="383">
        <v>0</v>
      </c>
      <c r="H131" s="4">
        <v>-2736.53</v>
      </c>
      <c r="I131" s="12" t="s">
        <v>932</v>
      </c>
    </row>
    <row r="132" spans="1:9" x14ac:dyDescent="0.2">
      <c r="A132" s="387">
        <v>6819</v>
      </c>
      <c r="B132" s="388">
        <v>42430</v>
      </c>
      <c r="C132" s="47" t="s">
        <v>88</v>
      </c>
      <c r="D132" s="15" t="s">
        <v>528</v>
      </c>
      <c r="E132" s="15"/>
      <c r="F132" s="383">
        <v>98</v>
      </c>
      <c r="G132" s="383">
        <v>0</v>
      </c>
      <c r="H132" s="4">
        <v>-5251.91</v>
      </c>
      <c r="I132" s="12" t="s">
        <v>932</v>
      </c>
    </row>
    <row r="133" spans="1:9" x14ac:dyDescent="0.2">
      <c r="A133" s="387">
        <v>6832</v>
      </c>
      <c r="B133" s="388">
        <v>42444</v>
      </c>
      <c r="C133" s="27" t="s">
        <v>88</v>
      </c>
      <c r="D133" s="15" t="s">
        <v>939</v>
      </c>
      <c r="E133" s="15"/>
      <c r="F133" s="383">
        <v>98</v>
      </c>
      <c r="G133" s="383">
        <v>0</v>
      </c>
      <c r="H133" s="4">
        <v>15814.4</v>
      </c>
      <c r="I133" s="12" t="s">
        <v>932</v>
      </c>
    </row>
    <row r="134" spans="1:9" x14ac:dyDescent="0.2">
      <c r="A134" s="387">
        <v>6836</v>
      </c>
      <c r="B134" s="388">
        <v>42465</v>
      </c>
      <c r="C134" s="27" t="s">
        <v>88</v>
      </c>
      <c r="D134" s="15" t="s">
        <v>940</v>
      </c>
      <c r="E134" s="15"/>
      <c r="F134" s="383">
        <v>134</v>
      </c>
      <c r="G134" s="383">
        <v>0</v>
      </c>
      <c r="H134" s="4">
        <v>13982.21</v>
      </c>
      <c r="I134" s="12" t="s">
        <v>932</v>
      </c>
    </row>
    <row r="135" spans="1:9" x14ac:dyDescent="0.2">
      <c r="A135" s="387">
        <v>6888</v>
      </c>
      <c r="B135" s="388">
        <v>42528</v>
      </c>
      <c r="C135" s="27" t="s">
        <v>88</v>
      </c>
      <c r="D135" s="15" t="s">
        <v>92</v>
      </c>
      <c r="E135" s="15"/>
      <c r="F135" s="383">
        <v>9.8000000000000007</v>
      </c>
      <c r="G135" s="383">
        <v>0</v>
      </c>
      <c r="H135" s="4">
        <v>-3871.47</v>
      </c>
      <c r="I135" s="12" t="s">
        <v>932</v>
      </c>
    </row>
    <row r="136" spans="1:9" x14ac:dyDescent="0.2">
      <c r="A136" s="382">
        <v>6911</v>
      </c>
      <c r="B136" s="47">
        <v>42598</v>
      </c>
      <c r="C136" s="27" t="s">
        <v>88</v>
      </c>
      <c r="D136" s="15" t="s">
        <v>941</v>
      </c>
      <c r="E136" s="383"/>
      <c r="F136" s="36">
        <v>35.799999999999997</v>
      </c>
      <c r="G136" s="383">
        <v>0</v>
      </c>
      <c r="H136" s="36">
        <v>-9032.59</v>
      </c>
      <c r="I136" s="12" t="s">
        <v>932</v>
      </c>
    </row>
    <row r="137" spans="1:9" x14ac:dyDescent="0.2">
      <c r="A137" s="382">
        <v>7001</v>
      </c>
      <c r="B137" s="385">
        <v>42752</v>
      </c>
      <c r="C137" s="386" t="s">
        <v>88</v>
      </c>
      <c r="D137" s="44" t="s">
        <v>528</v>
      </c>
      <c r="E137" s="44"/>
      <c r="F137" s="36">
        <v>39.770000000000003</v>
      </c>
      <c r="G137" s="383">
        <v>0</v>
      </c>
      <c r="H137" s="36">
        <v>14537.13</v>
      </c>
      <c r="I137" s="12" t="s">
        <v>932</v>
      </c>
    </row>
    <row r="138" spans="1:9" x14ac:dyDescent="0.2">
      <c r="A138" s="382">
        <v>7008</v>
      </c>
      <c r="B138" s="385">
        <v>42773</v>
      </c>
      <c r="C138" s="386" t="s">
        <v>88</v>
      </c>
      <c r="D138" s="44" t="s">
        <v>528</v>
      </c>
      <c r="E138" s="44"/>
      <c r="F138" s="36">
        <v>348.93</v>
      </c>
      <c r="G138" s="383">
        <v>0</v>
      </c>
      <c r="H138" s="36">
        <v>13388.45</v>
      </c>
      <c r="I138" s="12" t="s">
        <v>932</v>
      </c>
    </row>
    <row r="139" spans="1:9" x14ac:dyDescent="0.2">
      <c r="A139" s="382">
        <v>7021</v>
      </c>
      <c r="B139" s="385">
        <v>42801</v>
      </c>
      <c r="C139" s="386" t="s">
        <v>88</v>
      </c>
      <c r="D139" s="44" t="s">
        <v>528</v>
      </c>
      <c r="E139" s="44"/>
      <c r="F139" s="36">
        <v>98</v>
      </c>
      <c r="G139" s="383">
        <v>0</v>
      </c>
      <c r="H139" s="36">
        <v>6540.3526250000004</v>
      </c>
      <c r="I139" s="12" t="s">
        <v>932</v>
      </c>
    </row>
    <row r="140" spans="1:9" x14ac:dyDescent="0.2">
      <c r="A140" s="389">
        <v>6777</v>
      </c>
      <c r="B140" s="13">
        <v>42374</v>
      </c>
      <c r="C140" s="14" t="s">
        <v>530</v>
      </c>
      <c r="D140" s="12" t="s">
        <v>942</v>
      </c>
      <c r="E140" s="12"/>
      <c r="F140" s="383">
        <v>44.98</v>
      </c>
      <c r="G140" s="383">
        <v>0</v>
      </c>
      <c r="H140" s="4">
        <v>-44.98</v>
      </c>
      <c r="I140" s="12" t="s">
        <v>932</v>
      </c>
    </row>
    <row r="141" spans="1:9" x14ac:dyDescent="0.2">
      <c r="A141" s="389">
        <v>6794</v>
      </c>
      <c r="B141" s="13">
        <v>42388</v>
      </c>
      <c r="C141" s="14" t="s">
        <v>530</v>
      </c>
      <c r="D141" s="12" t="s">
        <v>942</v>
      </c>
      <c r="E141" s="12"/>
      <c r="F141" s="383">
        <v>44.11</v>
      </c>
      <c r="G141" s="383">
        <v>0</v>
      </c>
      <c r="H141" s="4">
        <v>-8827.5</v>
      </c>
      <c r="I141" s="12" t="s">
        <v>932</v>
      </c>
    </row>
    <row r="142" spans="1:9" x14ac:dyDescent="0.2">
      <c r="A142" s="387">
        <v>6810</v>
      </c>
      <c r="B142" s="388">
        <v>42416</v>
      </c>
      <c r="C142" s="27" t="s">
        <v>530</v>
      </c>
      <c r="D142" s="15" t="s">
        <v>943</v>
      </c>
      <c r="E142" s="15"/>
      <c r="F142" s="383">
        <v>40.18</v>
      </c>
      <c r="G142" s="383">
        <v>0</v>
      </c>
      <c r="H142" s="4">
        <v>-3413.45</v>
      </c>
      <c r="I142" s="12" t="s">
        <v>932</v>
      </c>
    </row>
    <row r="143" spans="1:9" x14ac:dyDescent="0.2">
      <c r="A143" s="387">
        <v>6837</v>
      </c>
      <c r="B143" s="388">
        <v>42465</v>
      </c>
      <c r="C143" s="27" t="s">
        <v>530</v>
      </c>
      <c r="D143" s="15" t="s">
        <v>942</v>
      </c>
      <c r="E143" s="15"/>
      <c r="F143" s="383">
        <v>39.43</v>
      </c>
      <c r="G143" s="383">
        <v>0</v>
      </c>
      <c r="H143" s="4">
        <v>13942.78</v>
      </c>
      <c r="I143" s="12" t="s">
        <v>932</v>
      </c>
    </row>
    <row r="144" spans="1:9" x14ac:dyDescent="0.2">
      <c r="A144" s="387">
        <v>6857</v>
      </c>
      <c r="B144" s="388">
        <v>42493</v>
      </c>
      <c r="C144" s="27" t="s">
        <v>530</v>
      </c>
      <c r="D144" s="15" t="s">
        <v>944</v>
      </c>
      <c r="E144" s="15"/>
      <c r="F144" s="383">
        <v>44.21</v>
      </c>
      <c r="G144" s="383">
        <v>0</v>
      </c>
      <c r="H144" s="4">
        <v>-14683.96</v>
      </c>
      <c r="I144" s="12" t="s">
        <v>932</v>
      </c>
    </row>
    <row r="145" spans="1:9" x14ac:dyDescent="0.2">
      <c r="A145" s="387">
        <v>6884</v>
      </c>
      <c r="B145" s="388">
        <v>42528</v>
      </c>
      <c r="C145" s="27" t="s">
        <v>530</v>
      </c>
      <c r="D145" s="15" t="s">
        <v>942</v>
      </c>
      <c r="E145" s="15"/>
      <c r="F145" s="383">
        <v>39.51</v>
      </c>
      <c r="G145" s="383">
        <v>0</v>
      </c>
      <c r="H145" s="4">
        <v>-761.79000000000201</v>
      </c>
      <c r="I145" s="12" t="s">
        <v>932</v>
      </c>
    </row>
    <row r="146" spans="1:9" x14ac:dyDescent="0.2">
      <c r="A146" s="387">
        <v>6894</v>
      </c>
      <c r="B146" s="388">
        <v>42542</v>
      </c>
      <c r="C146" s="27" t="s">
        <v>530</v>
      </c>
      <c r="D146" s="15" t="s">
        <v>944</v>
      </c>
      <c r="E146" s="15"/>
      <c r="F146" s="383">
        <v>45.58</v>
      </c>
      <c r="G146" s="383">
        <v>0</v>
      </c>
      <c r="H146" s="4">
        <v>-9326.6</v>
      </c>
      <c r="I146" s="12" t="s">
        <v>932</v>
      </c>
    </row>
    <row r="147" spans="1:9" x14ac:dyDescent="0.2">
      <c r="A147" s="382">
        <v>6902</v>
      </c>
      <c r="B147" s="47">
        <v>42570</v>
      </c>
      <c r="C147" s="27" t="s">
        <v>530</v>
      </c>
      <c r="D147" s="15" t="s">
        <v>800</v>
      </c>
      <c r="E147" s="383"/>
      <c r="F147" s="36">
        <v>40.17</v>
      </c>
      <c r="G147" s="383">
        <v>0</v>
      </c>
      <c r="H147" s="36">
        <v>139.38</v>
      </c>
      <c r="I147" s="12" t="s">
        <v>932</v>
      </c>
    </row>
    <row r="148" spans="1:9" x14ac:dyDescent="0.2">
      <c r="A148" s="389">
        <v>6922</v>
      </c>
      <c r="B148" s="13">
        <v>42619</v>
      </c>
      <c r="C148" s="318" t="s">
        <v>530</v>
      </c>
      <c r="D148" s="316" t="s">
        <v>800</v>
      </c>
      <c r="E148" s="4"/>
      <c r="F148" s="4">
        <v>39.659999999999997</v>
      </c>
      <c r="G148" s="383">
        <v>0</v>
      </c>
      <c r="H148" s="36">
        <v>-11671.49</v>
      </c>
      <c r="I148" s="12" t="s">
        <v>932</v>
      </c>
    </row>
    <row r="149" spans="1:9" x14ac:dyDescent="0.2">
      <c r="A149" s="387">
        <v>6935</v>
      </c>
      <c r="B149" s="47">
        <v>42635</v>
      </c>
      <c r="C149" s="27" t="s">
        <v>530</v>
      </c>
      <c r="D149" s="15" t="s">
        <v>801</v>
      </c>
      <c r="E149" s="383"/>
      <c r="F149" s="383">
        <v>45.67</v>
      </c>
      <c r="G149" s="383">
        <v>0</v>
      </c>
      <c r="H149" s="36">
        <v>-15874.48</v>
      </c>
      <c r="I149" s="12" t="s">
        <v>932</v>
      </c>
    </row>
    <row r="150" spans="1:9" x14ac:dyDescent="0.2">
      <c r="A150" s="382">
        <v>6945</v>
      </c>
      <c r="B150" s="47">
        <v>42661</v>
      </c>
      <c r="C150" s="27" t="s">
        <v>530</v>
      </c>
      <c r="D150" s="15" t="s">
        <v>802</v>
      </c>
      <c r="E150" s="383"/>
      <c r="F150" s="36">
        <v>45.9</v>
      </c>
      <c r="G150" s="383">
        <v>0</v>
      </c>
      <c r="H150" s="36">
        <v>-9954.31</v>
      </c>
      <c r="I150" s="12" t="s">
        <v>932</v>
      </c>
    </row>
    <row r="151" spans="1:9" x14ac:dyDescent="0.2">
      <c r="A151" s="382">
        <v>6960</v>
      </c>
      <c r="B151" s="13">
        <v>42689</v>
      </c>
      <c r="C151" s="318" t="s">
        <v>530</v>
      </c>
      <c r="D151" s="316" t="s">
        <v>629</v>
      </c>
      <c r="E151" s="383"/>
      <c r="F151" s="36">
        <v>40.93</v>
      </c>
      <c r="G151" s="383">
        <v>0</v>
      </c>
      <c r="H151" s="36">
        <v>-19855.22</v>
      </c>
      <c r="I151" s="12" t="s">
        <v>932</v>
      </c>
    </row>
    <row r="152" spans="1:9" x14ac:dyDescent="0.2">
      <c r="A152" s="389">
        <v>6981</v>
      </c>
      <c r="B152" s="13">
        <v>42724</v>
      </c>
      <c r="C152" s="14" t="s">
        <v>530</v>
      </c>
      <c r="D152" s="12" t="s">
        <v>802</v>
      </c>
      <c r="E152" s="4"/>
      <c r="F152" s="4">
        <v>41.55</v>
      </c>
      <c r="G152" s="383">
        <v>0</v>
      </c>
      <c r="H152" s="36">
        <v>-9231.93</v>
      </c>
      <c r="I152" s="12" t="s">
        <v>932</v>
      </c>
    </row>
    <row r="153" spans="1:9" x14ac:dyDescent="0.2">
      <c r="A153" s="387">
        <v>6993</v>
      </c>
      <c r="B153" s="47">
        <v>42752</v>
      </c>
      <c r="C153" s="27" t="s">
        <v>530</v>
      </c>
      <c r="D153" s="15" t="s">
        <v>802</v>
      </c>
      <c r="E153" s="383"/>
      <c r="F153" s="383">
        <v>40.69</v>
      </c>
      <c r="G153" s="383">
        <v>0</v>
      </c>
      <c r="H153" s="36">
        <v>17678.98</v>
      </c>
      <c r="I153" s="12" t="s">
        <v>932</v>
      </c>
    </row>
    <row r="154" spans="1:9" x14ac:dyDescent="0.2">
      <c r="A154" s="382">
        <v>7029</v>
      </c>
      <c r="B154" s="385">
        <v>42815</v>
      </c>
      <c r="C154" s="386" t="s">
        <v>530</v>
      </c>
      <c r="D154" s="44" t="s">
        <v>802</v>
      </c>
      <c r="E154" s="44"/>
      <c r="F154" s="36">
        <v>86.51</v>
      </c>
      <c r="G154" s="383">
        <v>0</v>
      </c>
      <c r="H154" s="36">
        <v>26970.672624999999</v>
      </c>
      <c r="I154" s="12" t="s">
        <v>932</v>
      </c>
    </row>
    <row r="155" spans="1:9" x14ac:dyDescent="0.2">
      <c r="A155" s="389">
        <v>6779</v>
      </c>
      <c r="B155" s="13">
        <v>42374</v>
      </c>
      <c r="C155" s="14" t="s">
        <v>533</v>
      </c>
      <c r="D155" s="12" t="s">
        <v>945</v>
      </c>
      <c r="E155" s="12"/>
      <c r="F155" s="383">
        <v>103.14</v>
      </c>
      <c r="G155" s="383">
        <v>0</v>
      </c>
      <c r="H155" s="4">
        <v>-308.22000000000003</v>
      </c>
      <c r="I155" s="12" t="s">
        <v>932</v>
      </c>
    </row>
    <row r="156" spans="1:9" x14ac:dyDescent="0.2">
      <c r="A156" s="387">
        <v>6804</v>
      </c>
      <c r="B156" s="47">
        <v>42402</v>
      </c>
      <c r="C156" s="27" t="s">
        <v>533</v>
      </c>
      <c r="D156" s="15" t="s">
        <v>946</v>
      </c>
      <c r="E156" s="15"/>
      <c r="F156" s="383">
        <v>51.65</v>
      </c>
      <c r="G156" s="383">
        <v>0</v>
      </c>
      <c r="H156" s="4">
        <v>-5554.48</v>
      </c>
      <c r="I156" s="12" t="s">
        <v>932</v>
      </c>
    </row>
    <row r="157" spans="1:9" x14ac:dyDescent="0.2">
      <c r="A157" s="387">
        <v>6805</v>
      </c>
      <c r="B157" s="47">
        <v>42402</v>
      </c>
      <c r="C157" s="27" t="s">
        <v>533</v>
      </c>
      <c r="D157" s="15" t="s">
        <v>947</v>
      </c>
      <c r="E157" s="15"/>
      <c r="F157" s="383">
        <v>500</v>
      </c>
      <c r="G157" s="383">
        <v>0</v>
      </c>
      <c r="H157" s="4">
        <v>-4664.83</v>
      </c>
      <c r="I157" s="12" t="s">
        <v>932</v>
      </c>
    </row>
    <row r="158" spans="1:9" x14ac:dyDescent="0.2">
      <c r="A158" s="387">
        <v>6822</v>
      </c>
      <c r="B158" s="388">
        <v>42430</v>
      </c>
      <c r="C158" s="27" t="s">
        <v>533</v>
      </c>
      <c r="D158" s="15" t="s">
        <v>948</v>
      </c>
      <c r="E158" s="15"/>
      <c r="F158" s="383">
        <v>25</v>
      </c>
      <c r="G158" s="383">
        <v>0</v>
      </c>
      <c r="H158" s="4">
        <v>-5652.29</v>
      </c>
      <c r="I158" s="12" t="s">
        <v>932</v>
      </c>
    </row>
    <row r="159" spans="1:9" x14ac:dyDescent="0.2">
      <c r="A159" s="387">
        <v>6825</v>
      </c>
      <c r="B159" s="388">
        <v>42430</v>
      </c>
      <c r="C159" s="27" t="s">
        <v>533</v>
      </c>
      <c r="D159" s="15" t="s">
        <v>949</v>
      </c>
      <c r="E159" s="15"/>
      <c r="F159" s="383">
        <v>264</v>
      </c>
      <c r="G159" s="383">
        <v>0</v>
      </c>
      <c r="H159" s="4">
        <v>-6916.29</v>
      </c>
      <c r="I159" s="12" t="s">
        <v>932</v>
      </c>
    </row>
    <row r="160" spans="1:9" x14ac:dyDescent="0.2">
      <c r="A160" s="387">
        <v>6833</v>
      </c>
      <c r="B160" s="388">
        <v>42444</v>
      </c>
      <c r="C160" s="27" t="s">
        <v>533</v>
      </c>
      <c r="D160" s="15" t="s">
        <v>950</v>
      </c>
      <c r="E160" s="15"/>
      <c r="F160" s="383">
        <v>20</v>
      </c>
      <c r="G160" s="383">
        <v>0</v>
      </c>
      <c r="H160" s="4">
        <v>15314.4</v>
      </c>
      <c r="I160" s="12" t="s">
        <v>932</v>
      </c>
    </row>
    <row r="161" spans="1:9" x14ac:dyDescent="0.2">
      <c r="A161" s="387">
        <v>6833</v>
      </c>
      <c r="B161" s="388">
        <v>42444</v>
      </c>
      <c r="C161" s="27" t="s">
        <v>533</v>
      </c>
      <c r="D161" s="15" t="s">
        <v>951</v>
      </c>
      <c r="E161" s="15"/>
      <c r="F161" s="383">
        <v>500</v>
      </c>
      <c r="G161" s="383">
        <v>0</v>
      </c>
      <c r="H161" s="4">
        <v>14794.4</v>
      </c>
      <c r="I161" s="12" t="s">
        <v>932</v>
      </c>
    </row>
    <row r="162" spans="1:9" x14ac:dyDescent="0.2">
      <c r="A162" s="387">
        <v>6840</v>
      </c>
      <c r="B162" s="388">
        <v>42465</v>
      </c>
      <c r="C162" s="27" t="s">
        <v>533</v>
      </c>
      <c r="D162" s="15" t="s">
        <v>952</v>
      </c>
      <c r="E162" s="15"/>
      <c r="F162" s="383">
        <v>2000</v>
      </c>
      <c r="G162" s="383">
        <v>0</v>
      </c>
      <c r="H162" s="4">
        <v>36750.660000000003</v>
      </c>
      <c r="I162" s="12" t="s">
        <v>932</v>
      </c>
    </row>
    <row r="163" spans="1:9" x14ac:dyDescent="0.2">
      <c r="A163" s="387">
        <v>6862</v>
      </c>
      <c r="B163" s="388">
        <v>42493</v>
      </c>
      <c r="C163" s="27" t="s">
        <v>533</v>
      </c>
      <c r="D163" s="15" t="s">
        <v>953</v>
      </c>
      <c r="E163" s="15"/>
      <c r="F163" s="383">
        <v>500</v>
      </c>
      <c r="G163" s="383">
        <v>0</v>
      </c>
      <c r="H163" s="4">
        <v>-16341</v>
      </c>
      <c r="I163" s="12" t="s">
        <v>932</v>
      </c>
    </row>
    <row r="164" spans="1:9" x14ac:dyDescent="0.2">
      <c r="A164" s="387">
        <v>6862</v>
      </c>
      <c r="B164" s="388">
        <v>42493</v>
      </c>
      <c r="C164" s="27" t="s">
        <v>533</v>
      </c>
      <c r="D164" s="15" t="s">
        <v>954</v>
      </c>
      <c r="E164" s="15"/>
      <c r="F164" s="383">
        <v>30</v>
      </c>
      <c r="G164" s="383">
        <v>0</v>
      </c>
      <c r="H164" s="4">
        <v>-16371</v>
      </c>
      <c r="I164" s="12" t="s">
        <v>932</v>
      </c>
    </row>
    <row r="165" spans="1:9" x14ac:dyDescent="0.2">
      <c r="A165" s="389">
        <v>9604</v>
      </c>
      <c r="B165" s="13">
        <v>42570</v>
      </c>
      <c r="C165" s="14" t="s">
        <v>533</v>
      </c>
      <c r="D165" s="12" t="s">
        <v>955</v>
      </c>
      <c r="E165" s="4"/>
      <c r="F165" s="4">
        <v>517.96</v>
      </c>
      <c r="G165" s="383">
        <v>0</v>
      </c>
      <c r="H165" s="36">
        <v>-2105.84</v>
      </c>
      <c r="I165" s="12" t="s">
        <v>932</v>
      </c>
    </row>
    <row r="166" spans="1:9" x14ac:dyDescent="0.2">
      <c r="A166" s="382">
        <v>6916</v>
      </c>
      <c r="B166" s="47">
        <v>42598</v>
      </c>
      <c r="C166" s="27" t="s">
        <v>533</v>
      </c>
      <c r="D166" s="15" t="s">
        <v>956</v>
      </c>
      <c r="E166" s="383"/>
      <c r="F166" s="36">
        <v>500</v>
      </c>
      <c r="G166" s="383">
        <v>0</v>
      </c>
      <c r="H166" s="36">
        <v>-11029.03</v>
      </c>
      <c r="I166" s="12" t="s">
        <v>932</v>
      </c>
    </row>
    <row r="167" spans="1:9" x14ac:dyDescent="0.2">
      <c r="A167" s="382">
        <v>6926</v>
      </c>
      <c r="B167" s="47">
        <v>42619</v>
      </c>
      <c r="C167" s="27" t="s">
        <v>533</v>
      </c>
      <c r="D167" s="15" t="s">
        <v>957</v>
      </c>
      <c r="E167" s="383"/>
      <c r="F167" s="36">
        <v>0</v>
      </c>
      <c r="G167" s="383">
        <v>0</v>
      </c>
      <c r="H167" s="36">
        <v>-12028.87</v>
      </c>
      <c r="I167" s="12" t="s">
        <v>932</v>
      </c>
    </row>
    <row r="168" spans="1:9" x14ac:dyDescent="0.2">
      <c r="A168" s="382">
        <v>6929</v>
      </c>
      <c r="B168" s="47">
        <v>42619</v>
      </c>
      <c r="C168" s="27" t="s">
        <v>533</v>
      </c>
      <c r="D168" s="15" t="s">
        <v>958</v>
      </c>
      <c r="E168" s="383"/>
      <c r="F168" s="36">
        <v>250</v>
      </c>
      <c r="G168" s="383">
        <v>0</v>
      </c>
      <c r="H168" s="36">
        <v>-12495.85</v>
      </c>
      <c r="I168" s="12" t="s">
        <v>932</v>
      </c>
    </row>
    <row r="169" spans="1:9" x14ac:dyDescent="0.2">
      <c r="A169" s="382">
        <v>6930</v>
      </c>
      <c r="B169" s="47">
        <v>42619</v>
      </c>
      <c r="C169" s="27" t="s">
        <v>533</v>
      </c>
      <c r="D169" s="15" t="s">
        <v>959</v>
      </c>
      <c r="E169" s="383"/>
      <c r="F169" s="36">
        <v>1000</v>
      </c>
      <c r="G169" s="383">
        <v>0</v>
      </c>
      <c r="H169" s="36">
        <v>-13495.85</v>
      </c>
      <c r="I169" s="12" t="s">
        <v>932</v>
      </c>
    </row>
    <row r="170" spans="1:9" x14ac:dyDescent="0.2">
      <c r="A170" s="389">
        <v>6931</v>
      </c>
      <c r="B170" s="13">
        <v>42619</v>
      </c>
      <c r="C170" s="318" t="s">
        <v>533</v>
      </c>
      <c r="D170" s="12" t="s">
        <v>808</v>
      </c>
      <c r="E170" s="4"/>
      <c r="F170" s="4">
        <v>500</v>
      </c>
      <c r="G170" s="383">
        <v>0</v>
      </c>
      <c r="H170" s="36">
        <v>-13995.85</v>
      </c>
      <c r="I170" s="12" t="s">
        <v>932</v>
      </c>
    </row>
    <row r="171" spans="1:9" x14ac:dyDescent="0.2">
      <c r="A171" s="389">
        <v>6948</v>
      </c>
      <c r="B171" s="13">
        <v>42661</v>
      </c>
      <c r="C171" s="318" t="s">
        <v>533</v>
      </c>
      <c r="D171" s="316" t="s">
        <v>960</v>
      </c>
      <c r="E171" s="4"/>
      <c r="F171" s="4">
        <v>199.31</v>
      </c>
      <c r="G171" s="383">
        <v>0</v>
      </c>
      <c r="H171" s="36">
        <v>-10319.26</v>
      </c>
      <c r="I171" s="12" t="s">
        <v>932</v>
      </c>
    </row>
    <row r="172" spans="1:9" x14ac:dyDescent="0.2">
      <c r="A172" s="382">
        <v>6971</v>
      </c>
      <c r="B172" s="47">
        <v>42710</v>
      </c>
      <c r="C172" s="27" t="s">
        <v>533</v>
      </c>
      <c r="D172" s="15" t="s">
        <v>810</v>
      </c>
      <c r="E172" s="383"/>
      <c r="F172" s="36">
        <v>1300</v>
      </c>
      <c r="G172" s="383">
        <v>0</v>
      </c>
      <c r="H172" s="36">
        <v>-5131.2</v>
      </c>
      <c r="I172" s="12" t="s">
        <v>932</v>
      </c>
    </row>
    <row r="173" spans="1:9" x14ac:dyDescent="0.2">
      <c r="A173" s="389">
        <v>6979</v>
      </c>
      <c r="B173" s="13">
        <v>42724</v>
      </c>
      <c r="C173" s="14" t="s">
        <v>533</v>
      </c>
      <c r="D173" s="12" t="s">
        <v>961</v>
      </c>
      <c r="E173" s="4"/>
      <c r="F173" s="4">
        <v>500</v>
      </c>
      <c r="G173" s="383">
        <v>0</v>
      </c>
      <c r="H173" s="36">
        <v>-9090.3799999999992</v>
      </c>
      <c r="I173" s="12" t="s">
        <v>932</v>
      </c>
    </row>
    <row r="174" spans="1:9" x14ac:dyDescent="0.2">
      <c r="A174" s="382">
        <v>6990</v>
      </c>
      <c r="B174" s="47">
        <v>42738</v>
      </c>
      <c r="C174" s="27" t="s">
        <v>533</v>
      </c>
      <c r="D174" s="15" t="s">
        <v>761</v>
      </c>
      <c r="E174" s="383"/>
      <c r="F174" s="36">
        <v>50</v>
      </c>
      <c r="G174" s="383">
        <v>0</v>
      </c>
      <c r="H174" s="36">
        <v>1769.34</v>
      </c>
      <c r="I174" s="12" t="s">
        <v>932</v>
      </c>
    </row>
    <row r="175" spans="1:9" x14ac:dyDescent="0.2">
      <c r="A175" s="382">
        <v>7009</v>
      </c>
      <c r="B175" s="385">
        <v>42773</v>
      </c>
      <c r="C175" s="386" t="s">
        <v>533</v>
      </c>
      <c r="D175" s="44" t="s">
        <v>962</v>
      </c>
      <c r="E175" s="44"/>
      <c r="F175" s="36">
        <v>370</v>
      </c>
      <c r="G175" s="383">
        <v>0</v>
      </c>
      <c r="H175" s="36">
        <v>13018.45</v>
      </c>
      <c r="I175" s="12" t="s">
        <v>932</v>
      </c>
    </row>
    <row r="176" spans="1:9" x14ac:dyDescent="0.2">
      <c r="A176" s="387">
        <v>6858</v>
      </c>
      <c r="B176" s="388">
        <v>42493</v>
      </c>
      <c r="C176" s="27" t="s">
        <v>193</v>
      </c>
      <c r="D176" s="15" t="s">
        <v>963</v>
      </c>
      <c r="E176" s="15"/>
      <c r="F176" s="383">
        <v>119.4</v>
      </c>
      <c r="G176" s="383">
        <v>0</v>
      </c>
      <c r="H176" s="4">
        <v>-14803.36</v>
      </c>
      <c r="I176" s="12" t="s">
        <v>932</v>
      </c>
    </row>
    <row r="177" spans="1:9" x14ac:dyDescent="0.2">
      <c r="A177" s="387">
        <v>6983</v>
      </c>
      <c r="B177" s="47">
        <v>42724</v>
      </c>
      <c r="C177" s="27" t="s">
        <v>193</v>
      </c>
      <c r="D177" s="15" t="s">
        <v>519</v>
      </c>
      <c r="E177" s="383"/>
      <c r="F177" s="383">
        <v>99</v>
      </c>
      <c r="G177" s="383">
        <v>0</v>
      </c>
      <c r="H177" s="36">
        <v>-9476.36</v>
      </c>
      <c r="I177" s="12" t="s">
        <v>932</v>
      </c>
    </row>
    <row r="178" spans="1:9" x14ac:dyDescent="0.2">
      <c r="A178" s="387">
        <v>6859</v>
      </c>
      <c r="B178" s="388">
        <v>42493</v>
      </c>
      <c r="C178" s="27" t="s">
        <v>91</v>
      </c>
      <c r="D178" s="15" t="s">
        <v>964</v>
      </c>
      <c r="E178" s="15"/>
      <c r="F178" s="383">
        <v>120.75</v>
      </c>
      <c r="G178" s="383">
        <v>0</v>
      </c>
      <c r="H178" s="4">
        <v>-14924.11</v>
      </c>
      <c r="I178" s="12" t="s">
        <v>932</v>
      </c>
    </row>
    <row r="179" spans="1:9" x14ac:dyDescent="0.2">
      <c r="A179" s="387">
        <v>6890</v>
      </c>
      <c r="B179" s="388">
        <v>42528</v>
      </c>
      <c r="C179" s="27" t="s">
        <v>91</v>
      </c>
      <c r="D179" s="15" t="s">
        <v>964</v>
      </c>
      <c r="E179" s="15"/>
      <c r="F179" s="383">
        <v>21.7</v>
      </c>
      <c r="G179" s="383">
        <v>0</v>
      </c>
      <c r="H179" s="4">
        <v>-3943.48</v>
      </c>
      <c r="I179" s="12" t="s">
        <v>932</v>
      </c>
    </row>
    <row r="180" spans="1:9" x14ac:dyDescent="0.2">
      <c r="A180" s="387">
        <v>6896</v>
      </c>
      <c r="B180" s="388">
        <v>42542</v>
      </c>
      <c r="C180" s="27" t="s">
        <v>91</v>
      </c>
      <c r="D180" s="15" t="s">
        <v>964</v>
      </c>
      <c r="E180" s="15"/>
      <c r="F180" s="383">
        <v>79.25</v>
      </c>
      <c r="G180" s="383">
        <v>0</v>
      </c>
      <c r="H180" s="4">
        <v>-9579.08</v>
      </c>
      <c r="I180" s="12" t="s">
        <v>932</v>
      </c>
    </row>
    <row r="181" spans="1:9" x14ac:dyDescent="0.2">
      <c r="A181" s="387">
        <v>6911</v>
      </c>
      <c r="B181" s="47">
        <v>42598</v>
      </c>
      <c r="C181" s="27" t="s">
        <v>91</v>
      </c>
      <c r="D181" s="15" t="s">
        <v>965</v>
      </c>
      <c r="E181" s="383"/>
      <c r="F181" s="383">
        <v>480</v>
      </c>
      <c r="G181" s="383">
        <v>0</v>
      </c>
      <c r="H181" s="36">
        <v>-8996.7900000000009</v>
      </c>
      <c r="I181" s="12" t="s">
        <v>932</v>
      </c>
    </row>
    <row r="182" spans="1:9" x14ac:dyDescent="0.2">
      <c r="A182" s="389">
        <v>6934</v>
      </c>
      <c r="B182" s="13">
        <v>42635</v>
      </c>
      <c r="C182" s="318" t="s">
        <v>91</v>
      </c>
      <c r="D182" s="316" t="s">
        <v>966</v>
      </c>
      <c r="E182" s="4"/>
      <c r="F182" s="4">
        <v>56.25</v>
      </c>
      <c r="G182" s="383">
        <v>0</v>
      </c>
      <c r="H182" s="36">
        <v>-15352.76</v>
      </c>
      <c r="I182" s="12" t="s">
        <v>932</v>
      </c>
    </row>
    <row r="183" spans="1:9" x14ac:dyDescent="0.2">
      <c r="A183" s="389">
        <v>6934</v>
      </c>
      <c r="B183" s="13">
        <v>42635</v>
      </c>
      <c r="C183" s="318" t="s">
        <v>91</v>
      </c>
      <c r="D183" s="12" t="s">
        <v>967</v>
      </c>
      <c r="E183" s="4"/>
      <c r="F183" s="4">
        <v>272.85000000000002</v>
      </c>
      <c r="G183" s="383">
        <v>0</v>
      </c>
      <c r="H183" s="36">
        <v>-15625.61</v>
      </c>
      <c r="I183" s="12" t="s">
        <v>932</v>
      </c>
    </row>
    <row r="184" spans="1:9" x14ac:dyDescent="0.2">
      <c r="A184" s="389">
        <v>6934</v>
      </c>
      <c r="B184" s="13">
        <v>42635</v>
      </c>
      <c r="C184" s="318" t="s">
        <v>91</v>
      </c>
      <c r="D184" s="12" t="s">
        <v>967</v>
      </c>
      <c r="E184" s="4"/>
      <c r="F184" s="4">
        <v>203.2</v>
      </c>
      <c r="G184" s="383">
        <v>0</v>
      </c>
      <c r="H184" s="36">
        <v>-15828.81</v>
      </c>
      <c r="I184" s="12" t="s">
        <v>932</v>
      </c>
    </row>
    <row r="185" spans="1:9" x14ac:dyDescent="0.2">
      <c r="A185" s="389">
        <v>6978</v>
      </c>
      <c r="B185" s="13">
        <v>42724</v>
      </c>
      <c r="C185" s="14" t="s">
        <v>91</v>
      </c>
      <c r="D185" s="12" t="s">
        <v>816</v>
      </c>
      <c r="E185" s="4"/>
      <c r="F185" s="4">
        <v>84.65</v>
      </c>
      <c r="G185" s="383">
        <v>0</v>
      </c>
      <c r="H185" s="36">
        <v>-8590.3799999999992</v>
      </c>
      <c r="I185" s="12" t="s">
        <v>932</v>
      </c>
    </row>
    <row r="186" spans="1:9" x14ac:dyDescent="0.2">
      <c r="A186" s="382">
        <v>7012</v>
      </c>
      <c r="B186" s="385">
        <v>42787</v>
      </c>
      <c r="C186" s="386" t="s">
        <v>91</v>
      </c>
      <c r="D186" s="44" t="s">
        <v>816</v>
      </c>
      <c r="E186" s="44"/>
      <c r="F186" s="36">
        <v>110.8</v>
      </c>
      <c r="G186" s="383">
        <v>0</v>
      </c>
      <c r="H186" s="36">
        <v>13906.559625</v>
      </c>
      <c r="I186" s="12" t="s">
        <v>932</v>
      </c>
    </row>
    <row r="187" spans="1:9" x14ac:dyDescent="0.2">
      <c r="A187" s="382">
        <v>7024</v>
      </c>
      <c r="B187" s="385">
        <v>42801</v>
      </c>
      <c r="C187" s="386" t="s">
        <v>91</v>
      </c>
      <c r="D187" s="44" t="s">
        <v>816</v>
      </c>
      <c r="E187" s="44"/>
      <c r="F187" s="36">
        <v>52.61</v>
      </c>
      <c r="G187" s="383">
        <v>0</v>
      </c>
      <c r="H187" s="36">
        <v>6220.042625</v>
      </c>
      <c r="I187" s="12" t="s">
        <v>932</v>
      </c>
    </row>
    <row r="188" spans="1:9" x14ac:dyDescent="0.2">
      <c r="A188" s="389">
        <v>6786</v>
      </c>
      <c r="B188" s="13">
        <v>42374</v>
      </c>
      <c r="C188" s="14" t="s">
        <v>51</v>
      </c>
      <c r="D188" s="12" t="s">
        <v>968</v>
      </c>
      <c r="E188" s="12"/>
      <c r="F188" s="383">
        <v>51.65</v>
      </c>
      <c r="G188" s="383">
        <v>0</v>
      </c>
      <c r="H188" s="4">
        <v>-4352.82</v>
      </c>
      <c r="I188" s="12" t="s">
        <v>932</v>
      </c>
    </row>
    <row r="189" spans="1:9" x14ac:dyDescent="0.2">
      <c r="A189" s="387">
        <v>6815</v>
      </c>
      <c r="B189" s="388">
        <v>42416</v>
      </c>
      <c r="C189" s="27" t="s">
        <v>51</v>
      </c>
      <c r="D189" s="15" t="s">
        <v>969</v>
      </c>
      <c r="E189" s="44"/>
      <c r="F189" s="383">
        <v>83.89</v>
      </c>
      <c r="G189" s="383">
        <v>0</v>
      </c>
      <c r="H189" s="4">
        <v>-4415.4799999999996</v>
      </c>
      <c r="I189" s="12" t="s">
        <v>932</v>
      </c>
    </row>
    <row r="190" spans="1:9" x14ac:dyDescent="0.2">
      <c r="A190" s="382">
        <v>6932</v>
      </c>
      <c r="B190" s="47">
        <v>42635</v>
      </c>
      <c r="C190" s="27" t="s">
        <v>51</v>
      </c>
      <c r="D190" s="15" t="s">
        <v>818</v>
      </c>
      <c r="E190" s="383"/>
      <c r="F190" s="36">
        <v>100.66</v>
      </c>
      <c r="G190" s="383">
        <v>0</v>
      </c>
      <c r="H190" s="36">
        <v>-14096.51</v>
      </c>
      <c r="I190" s="12" t="s">
        <v>932</v>
      </c>
    </row>
    <row r="191" spans="1:9" x14ac:dyDescent="0.2">
      <c r="A191" s="389">
        <v>6987</v>
      </c>
      <c r="B191" s="13">
        <v>42738</v>
      </c>
      <c r="C191" s="14" t="s">
        <v>51</v>
      </c>
      <c r="D191" s="12" t="s">
        <v>970</v>
      </c>
      <c r="E191" s="4"/>
      <c r="F191" s="4">
        <v>24</v>
      </c>
      <c r="G191" s="383">
        <v>0</v>
      </c>
      <c r="H191" s="36">
        <v>2857.45</v>
      </c>
      <c r="I191" s="12" t="s">
        <v>932</v>
      </c>
    </row>
    <row r="192" spans="1:9" x14ac:dyDescent="0.2">
      <c r="A192" s="382">
        <v>6988</v>
      </c>
      <c r="B192" s="47">
        <v>42738</v>
      </c>
      <c r="C192" s="27" t="s">
        <v>51</v>
      </c>
      <c r="D192" s="15" t="s">
        <v>971</v>
      </c>
      <c r="E192" s="383"/>
      <c r="F192" s="36">
        <v>48</v>
      </c>
      <c r="G192" s="383">
        <v>0</v>
      </c>
      <c r="H192" s="36">
        <v>2809.45</v>
      </c>
      <c r="I192" s="12" t="s">
        <v>932</v>
      </c>
    </row>
    <row r="193" spans="1:9" x14ac:dyDescent="0.2">
      <c r="A193" s="382">
        <v>7003</v>
      </c>
      <c r="B193" s="385">
        <v>42773</v>
      </c>
      <c r="C193" s="386" t="s">
        <v>51</v>
      </c>
      <c r="D193" s="44" t="s">
        <v>972</v>
      </c>
      <c r="E193" s="44"/>
      <c r="F193" s="36">
        <v>96</v>
      </c>
      <c r="G193" s="383">
        <v>0</v>
      </c>
      <c r="H193" s="36">
        <v>14420.64</v>
      </c>
      <c r="I193" s="12" t="s">
        <v>932</v>
      </c>
    </row>
    <row r="194" spans="1:9" x14ac:dyDescent="0.2">
      <c r="A194" s="389">
        <v>6789</v>
      </c>
      <c r="B194" s="13">
        <v>42388</v>
      </c>
      <c r="C194" s="14" t="s">
        <v>197</v>
      </c>
      <c r="D194" s="12" t="s">
        <v>973</v>
      </c>
      <c r="E194" s="12"/>
      <c r="F194" s="383">
        <v>436</v>
      </c>
      <c r="G194" s="383">
        <v>0</v>
      </c>
      <c r="H194" s="4">
        <v>-6312.07</v>
      </c>
      <c r="I194" s="12" t="s">
        <v>932</v>
      </c>
    </row>
    <row r="195" spans="1:9" x14ac:dyDescent="0.2">
      <c r="A195" s="382">
        <v>6903</v>
      </c>
      <c r="B195" s="47">
        <v>42570</v>
      </c>
      <c r="C195" s="27" t="s">
        <v>197</v>
      </c>
      <c r="D195" s="15" t="s">
        <v>973</v>
      </c>
      <c r="E195" s="383"/>
      <c r="F195" s="36">
        <v>450</v>
      </c>
      <c r="G195" s="383">
        <v>0</v>
      </c>
      <c r="H195" s="36">
        <v>-969.15</v>
      </c>
      <c r="I195" s="12" t="s">
        <v>932</v>
      </c>
    </row>
    <row r="196" spans="1:9" x14ac:dyDescent="0.2">
      <c r="A196" s="382">
        <v>6997</v>
      </c>
      <c r="B196" s="385">
        <v>42752</v>
      </c>
      <c r="C196" s="386" t="s">
        <v>197</v>
      </c>
      <c r="D196" s="44" t="s">
        <v>974</v>
      </c>
      <c r="E196" s="44"/>
      <c r="F196" s="36">
        <v>483.99</v>
      </c>
      <c r="G196" s="383">
        <v>0</v>
      </c>
      <c r="H196" s="36">
        <v>15690</v>
      </c>
      <c r="I196" s="12" t="s">
        <v>932</v>
      </c>
    </row>
    <row r="197" spans="1:9" x14ac:dyDescent="0.2">
      <c r="A197" s="389">
        <v>6789</v>
      </c>
      <c r="B197" s="13">
        <v>42388</v>
      </c>
      <c r="C197" s="14" t="s">
        <v>209</v>
      </c>
      <c r="D197" s="12" t="s">
        <v>823</v>
      </c>
      <c r="E197" s="12"/>
      <c r="F197" s="383">
        <v>238.5</v>
      </c>
      <c r="G197" s="383">
        <v>0</v>
      </c>
      <c r="H197" s="4">
        <v>-5876.07</v>
      </c>
      <c r="I197" s="12" t="s">
        <v>932</v>
      </c>
    </row>
    <row r="198" spans="1:9" x14ac:dyDescent="0.2">
      <c r="A198" s="382">
        <v>6903</v>
      </c>
      <c r="B198" s="47">
        <v>42570</v>
      </c>
      <c r="C198" s="27" t="s">
        <v>209</v>
      </c>
      <c r="D198" s="15" t="s">
        <v>823</v>
      </c>
      <c r="E198" s="383"/>
      <c r="F198" s="36">
        <v>244</v>
      </c>
      <c r="G198" s="383">
        <v>0</v>
      </c>
      <c r="H198" s="36">
        <v>-1213.1500000000001</v>
      </c>
      <c r="I198" s="12" t="s">
        <v>932</v>
      </c>
    </row>
    <row r="199" spans="1:9" x14ac:dyDescent="0.2">
      <c r="A199" s="382">
        <v>6909</v>
      </c>
      <c r="B199" s="47">
        <v>42569</v>
      </c>
      <c r="C199" s="27" t="s">
        <v>507</v>
      </c>
      <c r="D199" s="15" t="s">
        <v>824</v>
      </c>
      <c r="E199" s="383"/>
      <c r="F199" s="36">
        <v>1877.68</v>
      </c>
      <c r="G199" s="383">
        <v>0</v>
      </c>
      <c r="H199" s="36">
        <v>-4797.74</v>
      </c>
      <c r="I199" s="12" t="s">
        <v>932</v>
      </c>
    </row>
    <row r="200" spans="1:9" x14ac:dyDescent="0.2">
      <c r="A200" s="387">
        <v>6893</v>
      </c>
      <c r="B200" s="388">
        <v>42536</v>
      </c>
      <c r="C200" s="27" t="s">
        <v>215</v>
      </c>
      <c r="D200" s="15" t="s">
        <v>29</v>
      </c>
      <c r="E200" s="15"/>
      <c r="F200" s="383">
        <v>1000</v>
      </c>
      <c r="G200" s="383">
        <v>0</v>
      </c>
      <c r="H200" s="4">
        <v>-15443.48</v>
      </c>
      <c r="I200" s="12" t="s">
        <v>932</v>
      </c>
    </row>
    <row r="201" spans="1:9" x14ac:dyDescent="0.2">
      <c r="A201" s="387">
        <v>6874</v>
      </c>
      <c r="B201" s="388">
        <v>43237</v>
      </c>
      <c r="C201" s="27" t="s">
        <v>100</v>
      </c>
      <c r="D201" s="15" t="s">
        <v>975</v>
      </c>
      <c r="E201" s="15"/>
      <c r="F201" s="383">
        <v>1250</v>
      </c>
      <c r="G201" s="383">
        <v>0</v>
      </c>
      <c r="H201" s="4">
        <v>-29355.96</v>
      </c>
      <c r="I201" s="12" t="s">
        <v>932</v>
      </c>
    </row>
    <row r="202" spans="1:9" x14ac:dyDescent="0.2">
      <c r="A202" s="387">
        <v>6833</v>
      </c>
      <c r="B202" s="388">
        <v>42444</v>
      </c>
      <c r="C202" s="27" t="s">
        <v>119</v>
      </c>
      <c r="D202" s="15" t="s">
        <v>976</v>
      </c>
      <c r="E202" s="15"/>
      <c r="F202" s="383">
        <v>20</v>
      </c>
      <c r="G202" s="383">
        <v>0</v>
      </c>
      <c r="H202" s="4">
        <v>15294.4</v>
      </c>
      <c r="I202" s="12" t="s">
        <v>932</v>
      </c>
    </row>
    <row r="203" spans="1:9" x14ac:dyDescent="0.2">
      <c r="A203" s="387">
        <v>6862</v>
      </c>
      <c r="B203" s="388">
        <v>42493</v>
      </c>
      <c r="C203" s="27" t="s">
        <v>119</v>
      </c>
      <c r="D203" s="15" t="s">
        <v>977</v>
      </c>
      <c r="E203" s="15"/>
      <c r="F203" s="383">
        <v>100</v>
      </c>
      <c r="G203" s="383">
        <v>0</v>
      </c>
      <c r="H203" s="4">
        <v>-15841</v>
      </c>
      <c r="I203" s="12" t="s">
        <v>932</v>
      </c>
    </row>
    <row r="204" spans="1:9" x14ac:dyDescent="0.2">
      <c r="A204" s="387">
        <v>6911</v>
      </c>
      <c r="B204" s="47">
        <v>42598</v>
      </c>
      <c r="C204" s="27" t="s">
        <v>119</v>
      </c>
      <c r="D204" s="15" t="s">
        <v>826</v>
      </c>
      <c r="E204" s="383"/>
      <c r="F204" s="383">
        <v>25</v>
      </c>
      <c r="G204" s="383">
        <v>0</v>
      </c>
      <c r="H204" s="36">
        <v>-8516.7900000000009</v>
      </c>
      <c r="I204" s="12" t="s">
        <v>932</v>
      </c>
    </row>
    <row r="205" spans="1:9" x14ac:dyDescent="0.2">
      <c r="A205" s="382">
        <v>7022</v>
      </c>
      <c r="B205" s="385">
        <v>42801</v>
      </c>
      <c r="C205" s="386" t="s">
        <v>119</v>
      </c>
      <c r="D205" s="44" t="s">
        <v>978</v>
      </c>
      <c r="E205" s="44"/>
      <c r="F205" s="36">
        <v>90</v>
      </c>
      <c r="G205" s="383">
        <v>0</v>
      </c>
      <c r="H205" s="36">
        <v>6450.3526250000004</v>
      </c>
      <c r="I205" s="12" t="s">
        <v>932</v>
      </c>
    </row>
    <row r="206" spans="1:9" x14ac:dyDescent="0.2">
      <c r="A206" s="387">
        <v>6854</v>
      </c>
      <c r="B206" s="388">
        <v>42479</v>
      </c>
      <c r="C206" s="27" t="s">
        <v>163</v>
      </c>
      <c r="D206" s="15" t="s">
        <v>979</v>
      </c>
      <c r="E206" s="15"/>
      <c r="F206" s="383">
        <v>100</v>
      </c>
      <c r="G206" s="383">
        <v>0</v>
      </c>
      <c r="H206" s="4">
        <v>23210.25</v>
      </c>
      <c r="I206" s="12" t="s">
        <v>932</v>
      </c>
    </row>
    <row r="207" spans="1:9" x14ac:dyDescent="0.2">
      <c r="A207" s="389">
        <v>6940</v>
      </c>
      <c r="B207" s="13">
        <v>42647</v>
      </c>
      <c r="C207" s="318" t="s">
        <v>518</v>
      </c>
      <c r="D207" s="316" t="s">
        <v>980</v>
      </c>
      <c r="E207" s="4"/>
      <c r="F207" s="4">
        <v>334</v>
      </c>
      <c r="G207" s="383">
        <v>0</v>
      </c>
      <c r="H207" s="36">
        <v>-9572.2099999999991</v>
      </c>
      <c r="I207" s="15" t="s">
        <v>932</v>
      </c>
    </row>
    <row r="208" spans="1:9" x14ac:dyDescent="0.2">
      <c r="A208" s="389">
        <v>6778</v>
      </c>
      <c r="B208" s="13">
        <v>42374</v>
      </c>
      <c r="C208" s="14" t="s">
        <v>570</v>
      </c>
      <c r="D208" s="12" t="s">
        <v>981</v>
      </c>
      <c r="E208" s="12"/>
      <c r="F208" s="383">
        <v>160.1</v>
      </c>
      <c r="G208" s="383">
        <v>0</v>
      </c>
      <c r="H208" s="4">
        <v>-205.08</v>
      </c>
      <c r="I208" s="15" t="s">
        <v>982</v>
      </c>
    </row>
    <row r="209" spans="1:9" x14ac:dyDescent="0.2">
      <c r="A209" s="389">
        <v>6781</v>
      </c>
      <c r="B209" s="13">
        <v>42374</v>
      </c>
      <c r="C209" s="14" t="s">
        <v>570</v>
      </c>
      <c r="D209" s="12" t="s">
        <v>983</v>
      </c>
      <c r="E209" s="12"/>
      <c r="F209" s="383">
        <v>43.32</v>
      </c>
      <c r="G209" s="383">
        <v>0</v>
      </c>
      <c r="H209" s="4">
        <v>-385.54</v>
      </c>
      <c r="I209" s="15" t="s">
        <v>982</v>
      </c>
    </row>
    <row r="210" spans="1:9" x14ac:dyDescent="0.2">
      <c r="A210" s="389">
        <v>6791</v>
      </c>
      <c r="B210" s="13">
        <v>42388</v>
      </c>
      <c r="C210" s="14" t="s">
        <v>570</v>
      </c>
      <c r="D210" s="12" t="s">
        <v>97</v>
      </c>
      <c r="E210" s="12"/>
      <c r="F210" s="383">
        <v>151.19</v>
      </c>
      <c r="G210" s="383">
        <v>0</v>
      </c>
      <c r="H210" s="4">
        <v>-7936.49</v>
      </c>
      <c r="I210" s="15" t="s">
        <v>982</v>
      </c>
    </row>
    <row r="211" spans="1:9" x14ac:dyDescent="0.2">
      <c r="A211" s="387">
        <v>6802</v>
      </c>
      <c r="B211" s="47">
        <v>42402</v>
      </c>
      <c r="C211" s="27" t="s">
        <v>570</v>
      </c>
      <c r="D211" s="15" t="s">
        <v>97</v>
      </c>
      <c r="E211" s="15"/>
      <c r="F211" s="383">
        <v>104.33</v>
      </c>
      <c r="G211" s="383">
        <v>0</v>
      </c>
      <c r="H211" s="4">
        <v>-5829.26</v>
      </c>
      <c r="I211" s="15" t="s">
        <v>982</v>
      </c>
    </row>
    <row r="212" spans="1:9" x14ac:dyDescent="0.2">
      <c r="A212" s="387">
        <v>6813</v>
      </c>
      <c r="B212" s="388">
        <v>42416</v>
      </c>
      <c r="C212" s="27" t="s">
        <v>570</v>
      </c>
      <c r="D212" s="15" t="s">
        <v>97</v>
      </c>
      <c r="E212" s="15"/>
      <c r="F212" s="383">
        <v>58.95</v>
      </c>
      <c r="G212" s="383">
        <v>0</v>
      </c>
      <c r="H212" s="4">
        <v>-4289.21</v>
      </c>
      <c r="I212" s="15" t="s">
        <v>982</v>
      </c>
    </row>
    <row r="213" spans="1:9" x14ac:dyDescent="0.2">
      <c r="A213" s="387">
        <v>6833</v>
      </c>
      <c r="B213" s="388">
        <v>42444</v>
      </c>
      <c r="C213" s="27" t="s">
        <v>570</v>
      </c>
      <c r="D213" s="15" t="s">
        <v>984</v>
      </c>
      <c r="E213" s="15"/>
      <c r="F213" s="383">
        <v>71.62</v>
      </c>
      <c r="G213" s="383">
        <v>0</v>
      </c>
      <c r="H213" s="4">
        <v>14722.78</v>
      </c>
      <c r="I213" s="15" t="s">
        <v>982</v>
      </c>
    </row>
    <row r="214" spans="1:9" x14ac:dyDescent="0.2">
      <c r="A214" s="387">
        <v>6852</v>
      </c>
      <c r="B214" s="388">
        <v>42479</v>
      </c>
      <c r="C214" s="27" t="s">
        <v>570</v>
      </c>
      <c r="D214" s="15" t="s">
        <v>97</v>
      </c>
      <c r="E214" s="15"/>
      <c r="F214" s="383">
        <v>154.19999999999999</v>
      </c>
      <c r="G214" s="383">
        <v>0</v>
      </c>
      <c r="H214" s="4">
        <v>23410.25</v>
      </c>
      <c r="I214" s="15" t="s">
        <v>982</v>
      </c>
    </row>
    <row r="215" spans="1:9" x14ac:dyDescent="0.2">
      <c r="A215" s="387">
        <v>6876</v>
      </c>
      <c r="B215" s="388">
        <v>42507</v>
      </c>
      <c r="C215" s="27" t="s">
        <v>570</v>
      </c>
      <c r="D215" s="15" t="s">
        <v>985</v>
      </c>
      <c r="E215" s="15"/>
      <c r="F215" s="383">
        <v>143.69999999999999</v>
      </c>
      <c r="G215" s="383">
        <v>0</v>
      </c>
      <c r="H215" s="4">
        <v>-29699.66</v>
      </c>
      <c r="I215" s="15" t="s">
        <v>982</v>
      </c>
    </row>
    <row r="216" spans="1:9" x14ac:dyDescent="0.2">
      <c r="A216" s="387">
        <v>6877</v>
      </c>
      <c r="B216" s="388">
        <v>42507</v>
      </c>
      <c r="C216" s="27" t="s">
        <v>570</v>
      </c>
      <c r="D216" s="15" t="s">
        <v>986</v>
      </c>
      <c r="E216" s="15"/>
      <c r="F216" s="383">
        <v>59.29</v>
      </c>
      <c r="G216" s="383">
        <v>0</v>
      </c>
      <c r="H216" s="4">
        <v>-29758.95</v>
      </c>
      <c r="I216" s="15" t="s">
        <v>982</v>
      </c>
    </row>
    <row r="217" spans="1:9" x14ac:dyDescent="0.2">
      <c r="A217" s="387">
        <v>6878</v>
      </c>
      <c r="B217" s="388">
        <v>42507</v>
      </c>
      <c r="C217" s="27" t="s">
        <v>570</v>
      </c>
      <c r="D217" s="15" t="s">
        <v>411</v>
      </c>
      <c r="E217" s="15"/>
      <c r="F217" s="383">
        <v>47.48</v>
      </c>
      <c r="G217" s="383">
        <v>0</v>
      </c>
      <c r="H217" s="4">
        <v>-29806.43</v>
      </c>
      <c r="I217" s="15" t="s">
        <v>982</v>
      </c>
    </row>
    <row r="218" spans="1:9" x14ac:dyDescent="0.2">
      <c r="A218" s="387">
        <v>6888</v>
      </c>
      <c r="B218" s="388">
        <v>42528</v>
      </c>
      <c r="C218" s="27" t="s">
        <v>570</v>
      </c>
      <c r="D218" s="15" t="s">
        <v>987</v>
      </c>
      <c r="E218" s="15"/>
      <c r="F218" s="383">
        <v>7.74</v>
      </c>
      <c r="G218" s="383">
        <v>0</v>
      </c>
      <c r="H218" s="4">
        <v>-3861.67</v>
      </c>
      <c r="I218" s="15" t="s">
        <v>982</v>
      </c>
    </row>
    <row r="219" spans="1:9" x14ac:dyDescent="0.2">
      <c r="A219" s="387">
        <v>6889</v>
      </c>
      <c r="B219" s="388">
        <v>42528</v>
      </c>
      <c r="C219" s="27" t="s">
        <v>570</v>
      </c>
      <c r="D219" s="15" t="s">
        <v>97</v>
      </c>
      <c r="E219" s="15"/>
      <c r="F219" s="383">
        <v>50.31</v>
      </c>
      <c r="G219" s="383">
        <v>0</v>
      </c>
      <c r="H219" s="4">
        <v>-3921.78</v>
      </c>
      <c r="I219" s="15" t="s">
        <v>982</v>
      </c>
    </row>
    <row r="220" spans="1:9" x14ac:dyDescent="0.2">
      <c r="A220" s="387">
        <v>6897</v>
      </c>
      <c r="B220" s="388">
        <v>42542</v>
      </c>
      <c r="C220" s="27" t="s">
        <v>570</v>
      </c>
      <c r="D220" s="15" t="s">
        <v>986</v>
      </c>
      <c r="E220" s="15"/>
      <c r="F220" s="383">
        <v>50.82</v>
      </c>
      <c r="G220" s="383">
        <v>0</v>
      </c>
      <c r="H220" s="4">
        <v>-9629.9</v>
      </c>
      <c r="I220" s="15" t="s">
        <v>982</v>
      </c>
    </row>
    <row r="221" spans="1:9" x14ac:dyDescent="0.2">
      <c r="A221" s="389">
        <v>6921</v>
      </c>
      <c r="B221" s="13">
        <v>42619</v>
      </c>
      <c r="C221" s="14" t="s">
        <v>570</v>
      </c>
      <c r="D221" s="12" t="s">
        <v>97</v>
      </c>
      <c r="E221" s="4"/>
      <c r="F221" s="4">
        <v>206.16</v>
      </c>
      <c r="G221" s="383">
        <v>0</v>
      </c>
      <c r="H221" s="36">
        <v>-11631.83</v>
      </c>
      <c r="I221" s="15" t="s">
        <v>982</v>
      </c>
    </row>
    <row r="222" spans="1:9" x14ac:dyDescent="0.2">
      <c r="A222" s="382">
        <v>6942</v>
      </c>
      <c r="B222" s="47">
        <v>42647</v>
      </c>
      <c r="C222" s="27" t="s">
        <v>570</v>
      </c>
      <c r="D222" s="15" t="s">
        <v>97</v>
      </c>
      <c r="E222" s="383"/>
      <c r="F222" s="36">
        <v>78.67</v>
      </c>
      <c r="G222" s="383">
        <v>0</v>
      </c>
      <c r="H222" s="36">
        <v>-9758.9599999999991</v>
      </c>
      <c r="I222" s="15" t="s">
        <v>982</v>
      </c>
    </row>
    <row r="223" spans="1:9" x14ac:dyDescent="0.2">
      <c r="A223" s="389">
        <v>6947</v>
      </c>
      <c r="B223" s="13">
        <v>42661</v>
      </c>
      <c r="C223" s="318" t="s">
        <v>570</v>
      </c>
      <c r="D223" s="316" t="s">
        <v>97</v>
      </c>
      <c r="E223" s="4"/>
      <c r="F223" s="4">
        <v>113.66</v>
      </c>
      <c r="G223" s="383">
        <v>0</v>
      </c>
      <c r="H223" s="36">
        <v>-10119.950000000001</v>
      </c>
      <c r="I223" s="15" t="s">
        <v>982</v>
      </c>
    </row>
    <row r="224" spans="1:9" x14ac:dyDescent="0.2">
      <c r="A224" s="389">
        <v>6956</v>
      </c>
      <c r="B224" s="13">
        <v>42675</v>
      </c>
      <c r="C224" s="318" t="s">
        <v>570</v>
      </c>
      <c r="D224" s="12" t="s">
        <v>97</v>
      </c>
      <c r="E224" s="4"/>
      <c r="F224" s="4">
        <v>158.57</v>
      </c>
      <c r="G224" s="383">
        <v>0</v>
      </c>
      <c r="H224" s="36">
        <v>-23509.25</v>
      </c>
      <c r="I224" s="15" t="s">
        <v>982</v>
      </c>
    </row>
    <row r="225" spans="1:9" x14ac:dyDescent="0.2">
      <c r="A225" s="382">
        <v>6969</v>
      </c>
      <c r="B225" s="47">
        <v>42710</v>
      </c>
      <c r="C225" s="27" t="s">
        <v>570</v>
      </c>
      <c r="D225" s="15" t="s">
        <v>177</v>
      </c>
      <c r="E225" s="383"/>
      <c r="F225" s="36">
        <v>154.16999999999999</v>
      </c>
      <c r="G225" s="383">
        <v>0</v>
      </c>
      <c r="H225" s="36">
        <v>-3336.25</v>
      </c>
      <c r="I225" s="15" t="s">
        <v>982</v>
      </c>
    </row>
    <row r="226" spans="1:9" x14ac:dyDescent="0.2">
      <c r="A226" s="389">
        <v>6975</v>
      </c>
      <c r="B226" s="13">
        <v>42710</v>
      </c>
      <c r="C226" s="318" t="s">
        <v>570</v>
      </c>
      <c r="D226" s="12" t="s">
        <v>590</v>
      </c>
      <c r="E226" s="4"/>
      <c r="F226" s="4">
        <v>99.72</v>
      </c>
      <c r="G226" s="383">
        <v>0</v>
      </c>
      <c r="H226" s="36">
        <v>-8116.85</v>
      </c>
      <c r="I226" s="15" t="s">
        <v>982</v>
      </c>
    </row>
    <row r="227" spans="1:9" x14ac:dyDescent="0.2">
      <c r="A227" s="389">
        <v>6977</v>
      </c>
      <c r="B227" s="13">
        <v>42710</v>
      </c>
      <c r="C227" s="318" t="s">
        <v>570</v>
      </c>
      <c r="D227" s="12" t="s">
        <v>591</v>
      </c>
      <c r="E227" s="4"/>
      <c r="F227" s="4">
        <v>88.67</v>
      </c>
      <c r="G227" s="383">
        <v>0</v>
      </c>
      <c r="H227" s="36">
        <v>-8505.73</v>
      </c>
      <c r="I227" s="15" t="s">
        <v>982</v>
      </c>
    </row>
    <row r="228" spans="1:9" x14ac:dyDescent="0.2">
      <c r="A228" s="389">
        <v>6984</v>
      </c>
      <c r="B228" s="13">
        <v>42738</v>
      </c>
      <c r="C228" s="14" t="s">
        <v>570</v>
      </c>
      <c r="D228" s="12" t="s">
        <v>97</v>
      </c>
      <c r="E228" s="4"/>
      <c r="F228" s="4">
        <v>98.73</v>
      </c>
      <c r="G228" s="383">
        <v>0</v>
      </c>
      <c r="H228" s="36">
        <v>2950.49</v>
      </c>
      <c r="I228" s="15" t="s">
        <v>982</v>
      </c>
    </row>
    <row r="229" spans="1:9" x14ac:dyDescent="0.2">
      <c r="A229" s="382">
        <v>7000</v>
      </c>
      <c r="B229" s="385">
        <v>42752</v>
      </c>
      <c r="C229" s="386" t="s">
        <v>570</v>
      </c>
      <c r="D229" s="44" t="s">
        <v>97</v>
      </c>
      <c r="E229" s="44"/>
      <c r="F229" s="36">
        <v>133.91</v>
      </c>
      <c r="G229" s="383">
        <v>0</v>
      </c>
      <c r="H229" s="36">
        <v>14576.9</v>
      </c>
      <c r="I229" s="15" t="s">
        <v>982</v>
      </c>
    </row>
    <row r="230" spans="1:9" x14ac:dyDescent="0.2">
      <c r="A230" s="382">
        <v>7002</v>
      </c>
      <c r="B230" s="385">
        <v>42752</v>
      </c>
      <c r="C230" s="386" t="s">
        <v>570</v>
      </c>
      <c r="D230" s="44" t="s">
        <v>97</v>
      </c>
      <c r="E230" s="44"/>
      <c r="F230" s="36">
        <v>20.49</v>
      </c>
      <c r="G230" s="383">
        <v>0</v>
      </c>
      <c r="H230" s="36">
        <v>14516.64</v>
      </c>
      <c r="I230" s="15" t="s">
        <v>982</v>
      </c>
    </row>
    <row r="231" spans="1:9" x14ac:dyDescent="0.2">
      <c r="A231" s="382">
        <v>7006</v>
      </c>
      <c r="B231" s="385">
        <v>42773</v>
      </c>
      <c r="C231" s="386" t="s">
        <v>570</v>
      </c>
      <c r="D231" s="44" t="s">
        <v>97</v>
      </c>
      <c r="E231" s="44"/>
      <c r="F231" s="36">
        <v>103.17</v>
      </c>
      <c r="G231" s="383">
        <v>0</v>
      </c>
      <c r="H231" s="36">
        <v>14164.18</v>
      </c>
      <c r="I231" s="15" t="s">
        <v>982</v>
      </c>
    </row>
    <row r="232" spans="1:9" x14ac:dyDescent="0.2">
      <c r="A232" s="382">
        <v>7023</v>
      </c>
      <c r="B232" s="385">
        <v>42801</v>
      </c>
      <c r="C232" s="386" t="s">
        <v>570</v>
      </c>
      <c r="D232" s="44" t="s">
        <v>97</v>
      </c>
      <c r="E232" s="44"/>
      <c r="F232" s="36">
        <v>177.7</v>
      </c>
      <c r="G232" s="383">
        <v>0</v>
      </c>
      <c r="H232" s="36">
        <v>6272.6526249999997</v>
      </c>
      <c r="I232" s="15" t="s">
        <v>982</v>
      </c>
    </row>
    <row r="233" spans="1:9" x14ac:dyDescent="0.2">
      <c r="A233" s="382">
        <v>7030</v>
      </c>
      <c r="B233" s="385">
        <v>42815</v>
      </c>
      <c r="C233" s="386" t="s">
        <v>570</v>
      </c>
      <c r="D233" s="44" t="s">
        <v>97</v>
      </c>
      <c r="E233" s="44"/>
      <c r="F233" s="36">
        <v>84.29</v>
      </c>
      <c r="G233" s="383">
        <v>0</v>
      </c>
      <c r="H233" s="36">
        <v>26886.382624999998</v>
      </c>
      <c r="I233" s="15" t="s">
        <v>982</v>
      </c>
    </row>
    <row r="234" spans="1:9" x14ac:dyDescent="0.2">
      <c r="A234" s="387">
        <v>6803</v>
      </c>
      <c r="B234" s="47">
        <v>42402</v>
      </c>
      <c r="C234" s="27" t="s">
        <v>988</v>
      </c>
      <c r="D234" s="15" t="s">
        <v>989</v>
      </c>
      <c r="E234" s="15"/>
      <c r="F234" s="383">
        <v>10</v>
      </c>
      <c r="G234" s="383">
        <v>0</v>
      </c>
      <c r="H234" s="4">
        <v>-5563.93</v>
      </c>
      <c r="I234" s="15" t="s">
        <v>982</v>
      </c>
    </row>
    <row r="235" spans="1:9" x14ac:dyDescent="0.2">
      <c r="A235" s="387">
        <v>6898</v>
      </c>
      <c r="B235" s="388">
        <v>42542</v>
      </c>
      <c r="C235" s="27" t="s">
        <v>988</v>
      </c>
      <c r="D235" s="15" t="s">
        <v>990</v>
      </c>
      <c r="E235" s="15"/>
      <c r="F235" s="383">
        <v>25</v>
      </c>
      <c r="G235" s="383">
        <v>0</v>
      </c>
      <c r="H235" s="4">
        <v>-9654.9</v>
      </c>
      <c r="I235" s="15" t="s">
        <v>982</v>
      </c>
    </row>
    <row r="236" spans="1:9" x14ac:dyDescent="0.2">
      <c r="A236" s="389">
        <v>6980</v>
      </c>
      <c r="B236" s="13">
        <v>42724</v>
      </c>
      <c r="C236" s="14" t="s">
        <v>571</v>
      </c>
      <c r="D236" s="12" t="s">
        <v>829</v>
      </c>
      <c r="E236" s="4"/>
      <c r="F236" s="4">
        <v>100</v>
      </c>
      <c r="G236" s="383">
        <v>0</v>
      </c>
      <c r="H236" s="36">
        <v>-9190.3799999999992</v>
      </c>
      <c r="I236" s="15" t="s">
        <v>982</v>
      </c>
    </row>
    <row r="237" spans="1:9" x14ac:dyDescent="0.2">
      <c r="A237" s="382">
        <v>6917</v>
      </c>
      <c r="B237" s="47">
        <v>42598</v>
      </c>
      <c r="C237" s="27" t="s">
        <v>572</v>
      </c>
      <c r="D237" s="15" t="s">
        <v>991</v>
      </c>
      <c r="E237" s="383"/>
      <c r="F237" s="36">
        <v>0</v>
      </c>
      <c r="G237" s="383">
        <v>0</v>
      </c>
      <c r="H237" s="36">
        <v>-11029.03</v>
      </c>
      <c r="I237" s="15" t="s">
        <v>982</v>
      </c>
    </row>
    <row r="238" spans="1:9" x14ac:dyDescent="0.2">
      <c r="A238" s="382">
        <v>6925</v>
      </c>
      <c r="B238" s="47">
        <v>42619</v>
      </c>
      <c r="C238" s="27" t="s">
        <v>572</v>
      </c>
      <c r="D238" s="15" t="s">
        <v>992</v>
      </c>
      <c r="E238" s="383"/>
      <c r="F238" s="36">
        <v>100</v>
      </c>
      <c r="G238" s="383">
        <v>0</v>
      </c>
      <c r="H238" s="36">
        <v>-12028.87</v>
      </c>
      <c r="I238" s="15" t="s">
        <v>982</v>
      </c>
    </row>
    <row r="239" spans="1:9" x14ac:dyDescent="0.2">
      <c r="A239" s="389">
        <v>6900</v>
      </c>
      <c r="B239" s="13">
        <v>42570</v>
      </c>
      <c r="C239" s="14" t="s">
        <v>573</v>
      </c>
      <c r="D239" s="12" t="s">
        <v>993</v>
      </c>
      <c r="E239" s="4"/>
      <c r="F239" s="4">
        <v>93.55</v>
      </c>
      <c r="G239" s="383">
        <v>0</v>
      </c>
      <c r="H239" s="36">
        <v>1244.45</v>
      </c>
      <c r="I239" s="15" t="s">
        <v>982</v>
      </c>
    </row>
    <row r="240" spans="1:9" x14ac:dyDescent="0.2">
      <c r="A240" s="382">
        <v>6901</v>
      </c>
      <c r="B240" s="47">
        <v>42570</v>
      </c>
      <c r="C240" s="27" t="s">
        <v>573</v>
      </c>
      <c r="D240" s="15" t="s">
        <v>833</v>
      </c>
      <c r="E240" s="383"/>
      <c r="F240" s="36">
        <v>1346.2</v>
      </c>
      <c r="G240" s="383">
        <v>0</v>
      </c>
      <c r="H240" s="36">
        <v>-101.75</v>
      </c>
      <c r="I240" s="15" t="s">
        <v>982</v>
      </c>
    </row>
    <row r="241" spans="1:9" x14ac:dyDescent="0.2">
      <c r="A241" s="389">
        <v>6906</v>
      </c>
      <c r="B241" s="13">
        <v>42570</v>
      </c>
      <c r="C241" s="14" t="s">
        <v>573</v>
      </c>
      <c r="D241" s="12" t="s">
        <v>834</v>
      </c>
      <c r="E241" s="4"/>
      <c r="F241" s="4">
        <v>149.34</v>
      </c>
      <c r="G241" s="383">
        <v>0</v>
      </c>
      <c r="H241" s="36">
        <v>-2317.56</v>
      </c>
      <c r="I241" s="15" t="s">
        <v>982</v>
      </c>
    </row>
    <row r="242" spans="1:9" x14ac:dyDescent="0.2">
      <c r="A242" s="389">
        <v>6910</v>
      </c>
      <c r="B242" s="13">
        <v>42598</v>
      </c>
      <c r="C242" s="27" t="s">
        <v>574</v>
      </c>
      <c r="D242" s="12" t="s">
        <v>212</v>
      </c>
      <c r="E242" s="4"/>
      <c r="F242" s="4">
        <v>4200</v>
      </c>
      <c r="G242" s="383">
        <v>0</v>
      </c>
      <c r="H242" s="36">
        <v>-8491.7900000000009</v>
      </c>
      <c r="I242" s="15" t="s">
        <v>982</v>
      </c>
    </row>
    <row r="243" spans="1:9" x14ac:dyDescent="0.2">
      <c r="A243" s="382">
        <v>6961</v>
      </c>
      <c r="B243" s="47">
        <v>42689</v>
      </c>
      <c r="C243" s="27" t="s">
        <v>574</v>
      </c>
      <c r="D243" s="15" t="s">
        <v>835</v>
      </c>
      <c r="E243" s="383"/>
      <c r="F243" s="36">
        <v>10000</v>
      </c>
      <c r="G243" s="383">
        <v>0</v>
      </c>
      <c r="H243" s="36">
        <v>-29855.22</v>
      </c>
      <c r="I243" s="15" t="s">
        <v>982</v>
      </c>
    </row>
    <row r="244" spans="1:9" x14ac:dyDescent="0.2">
      <c r="A244" s="389">
        <v>6787</v>
      </c>
      <c r="B244" s="13">
        <v>42374</v>
      </c>
      <c r="C244" s="14" t="s">
        <v>575</v>
      </c>
      <c r="D244" s="12" t="s">
        <v>994</v>
      </c>
      <c r="E244" s="12"/>
      <c r="F244" s="383">
        <v>200</v>
      </c>
      <c r="G244" s="383">
        <v>0</v>
      </c>
      <c r="H244" s="4">
        <v>-4552.82</v>
      </c>
      <c r="I244" s="15" t="s">
        <v>982</v>
      </c>
    </row>
    <row r="245" spans="1:9" x14ac:dyDescent="0.2">
      <c r="A245" s="387">
        <v>6818</v>
      </c>
      <c r="B245" s="388">
        <v>42416</v>
      </c>
      <c r="C245" s="27" t="s">
        <v>575</v>
      </c>
      <c r="D245" s="15" t="s">
        <v>995</v>
      </c>
      <c r="E245" s="15"/>
      <c r="F245" s="383">
        <v>500</v>
      </c>
      <c r="G245" s="383">
        <v>0</v>
      </c>
      <c r="H245" s="4">
        <v>-5153.91</v>
      </c>
      <c r="I245" s="15" t="s">
        <v>982</v>
      </c>
    </row>
    <row r="246" spans="1:9" x14ac:dyDescent="0.2">
      <c r="A246" s="387">
        <v>6839</v>
      </c>
      <c r="B246" s="388">
        <v>42465</v>
      </c>
      <c r="C246" s="27" t="s">
        <v>575</v>
      </c>
      <c r="D246" s="15" t="s">
        <v>996</v>
      </c>
      <c r="E246" s="15"/>
      <c r="F246" s="383">
        <v>50</v>
      </c>
      <c r="G246" s="383">
        <v>0</v>
      </c>
      <c r="H246" s="4">
        <v>11803.67</v>
      </c>
      <c r="I246" s="15" t="s">
        <v>982</v>
      </c>
    </row>
    <row r="247" spans="1:9" x14ac:dyDescent="0.2">
      <c r="A247" s="382">
        <v>7010</v>
      </c>
      <c r="B247" s="385">
        <v>42773</v>
      </c>
      <c r="C247" s="386" t="s">
        <v>575</v>
      </c>
      <c r="D247" s="44" t="s">
        <v>836</v>
      </c>
      <c r="E247" s="44"/>
      <c r="F247" s="36">
        <v>570</v>
      </c>
      <c r="G247" s="383">
        <v>0</v>
      </c>
      <c r="H247" s="36">
        <v>12448.45</v>
      </c>
      <c r="I247" s="15" t="s">
        <v>982</v>
      </c>
    </row>
    <row r="248" spans="1:9" x14ac:dyDescent="0.2">
      <c r="A248" s="389">
        <v>6793</v>
      </c>
      <c r="B248" s="13">
        <v>42388</v>
      </c>
      <c r="C248" s="14" t="s">
        <v>997</v>
      </c>
      <c r="D248" s="12" t="s">
        <v>998</v>
      </c>
      <c r="E248" s="12"/>
      <c r="F248" s="383">
        <v>246.86</v>
      </c>
      <c r="G248" s="383">
        <v>0</v>
      </c>
      <c r="H248" s="4">
        <v>-8783.39</v>
      </c>
      <c r="I248" s="15" t="s">
        <v>982</v>
      </c>
    </row>
    <row r="249" spans="1:9" x14ac:dyDescent="0.2">
      <c r="A249" s="387">
        <v>6796</v>
      </c>
      <c r="B249" s="47">
        <v>42402</v>
      </c>
      <c r="C249" s="27" t="s">
        <v>997</v>
      </c>
      <c r="D249" s="15" t="s">
        <v>999</v>
      </c>
      <c r="E249" s="15"/>
      <c r="F249" s="383">
        <v>518.23</v>
      </c>
      <c r="G249" s="383">
        <v>0</v>
      </c>
      <c r="H249" s="4">
        <v>-9172.73</v>
      </c>
      <c r="I249" s="15" t="s">
        <v>982</v>
      </c>
    </row>
    <row r="250" spans="1:9" x14ac:dyDescent="0.2">
      <c r="A250" s="387">
        <v>6797</v>
      </c>
      <c r="B250" s="47">
        <v>42402</v>
      </c>
      <c r="C250" s="27" t="s">
        <v>997</v>
      </c>
      <c r="D250" s="15" t="s">
        <v>1000</v>
      </c>
      <c r="E250" s="15"/>
      <c r="F250" s="383">
        <v>283.64</v>
      </c>
      <c r="G250" s="383">
        <v>0</v>
      </c>
      <c r="H250" s="4">
        <v>-7954.34</v>
      </c>
      <c r="I250" s="15" t="s">
        <v>982</v>
      </c>
    </row>
    <row r="251" spans="1:9" x14ac:dyDescent="0.2">
      <c r="A251" s="387">
        <v>6798</v>
      </c>
      <c r="B251" s="47">
        <v>42402</v>
      </c>
      <c r="C251" s="27" t="s">
        <v>997</v>
      </c>
      <c r="D251" s="15" t="s">
        <v>1001</v>
      </c>
      <c r="E251" s="15"/>
      <c r="F251" s="383">
        <v>294.06</v>
      </c>
      <c r="G251" s="383">
        <v>0</v>
      </c>
      <c r="H251" s="4">
        <v>-7113.59</v>
      </c>
      <c r="I251" s="15" t="s">
        <v>982</v>
      </c>
    </row>
    <row r="252" spans="1:9" x14ac:dyDescent="0.2">
      <c r="A252" s="387">
        <v>6856</v>
      </c>
      <c r="B252" s="388">
        <v>42493</v>
      </c>
      <c r="C252" s="27" t="s">
        <v>576</v>
      </c>
      <c r="D252" s="15" t="s">
        <v>1002</v>
      </c>
      <c r="E252" s="15"/>
      <c r="F252" s="383">
        <v>37500</v>
      </c>
      <c r="G252" s="383">
        <v>0</v>
      </c>
      <c r="H252" s="4">
        <v>-14639.75</v>
      </c>
      <c r="I252" s="15" t="s">
        <v>982</v>
      </c>
    </row>
    <row r="253" spans="1:9" x14ac:dyDescent="0.2">
      <c r="A253" s="387">
        <v>6806</v>
      </c>
      <c r="B253" s="388">
        <v>42416</v>
      </c>
      <c r="C253" s="27" t="s">
        <v>577</v>
      </c>
      <c r="D253" s="15" t="s">
        <v>1003</v>
      </c>
      <c r="E253" s="15"/>
      <c r="F253" s="383">
        <v>912.1</v>
      </c>
      <c r="G253" s="383">
        <v>0</v>
      </c>
      <c r="H253" s="4">
        <v>-2391.19</v>
      </c>
      <c r="I253" s="15" t="s">
        <v>982</v>
      </c>
    </row>
    <row r="254" spans="1:9" x14ac:dyDescent="0.2">
      <c r="A254" s="382">
        <v>7013</v>
      </c>
      <c r="B254" s="385">
        <v>42787</v>
      </c>
      <c r="C254" s="386" t="s">
        <v>577</v>
      </c>
      <c r="D254" s="44" t="s">
        <v>1004</v>
      </c>
      <c r="E254" s="44"/>
      <c r="F254" s="36">
        <v>418.89</v>
      </c>
      <c r="G254" s="383">
        <v>0</v>
      </c>
      <c r="H254" s="36">
        <v>13487.669625</v>
      </c>
      <c r="I254" s="15" t="s">
        <v>982</v>
      </c>
    </row>
    <row r="255" spans="1:9" x14ac:dyDescent="0.2">
      <c r="A255" s="382">
        <v>7026</v>
      </c>
      <c r="B255" s="385">
        <v>42801</v>
      </c>
      <c r="C255" s="386" t="s">
        <v>577</v>
      </c>
      <c r="D255" s="44" t="s">
        <v>1004</v>
      </c>
      <c r="E255" s="44"/>
      <c r="F255" s="36">
        <v>488.23</v>
      </c>
      <c r="G255" s="383">
        <v>0</v>
      </c>
      <c r="H255" s="36">
        <v>5496.622625</v>
      </c>
      <c r="I255" s="15" t="s">
        <v>982</v>
      </c>
    </row>
    <row r="256" spans="1:9" x14ac:dyDescent="0.2">
      <c r="A256" s="387">
        <v>6833</v>
      </c>
      <c r="B256" s="388">
        <v>42444</v>
      </c>
      <c r="C256" s="27" t="s">
        <v>578</v>
      </c>
      <c r="D256" s="15" t="s">
        <v>1005</v>
      </c>
      <c r="E256" s="15"/>
      <c r="F256" s="383">
        <v>480</v>
      </c>
      <c r="G256" s="383">
        <v>0</v>
      </c>
      <c r="H256" s="4">
        <v>15334.4</v>
      </c>
      <c r="I256" s="15" t="s">
        <v>982</v>
      </c>
    </row>
    <row r="257" spans="1:9" x14ac:dyDescent="0.2">
      <c r="A257" s="387">
        <v>6933</v>
      </c>
      <c r="B257" s="47">
        <v>42635</v>
      </c>
      <c r="C257" s="27" t="s">
        <v>578</v>
      </c>
      <c r="D257" s="15" t="s">
        <v>1006</v>
      </c>
      <c r="E257" s="383"/>
      <c r="F257" s="383">
        <v>1200</v>
      </c>
      <c r="G257" s="383">
        <v>0</v>
      </c>
      <c r="H257" s="36">
        <v>-15296.51</v>
      </c>
      <c r="I257" s="15" t="s">
        <v>982</v>
      </c>
    </row>
    <row r="258" spans="1:9" x14ac:dyDescent="0.2">
      <c r="A258" s="387">
        <v>6816</v>
      </c>
      <c r="B258" s="388">
        <v>42416</v>
      </c>
      <c r="C258" s="27" t="s">
        <v>579</v>
      </c>
      <c r="D258" s="15" t="s">
        <v>1007</v>
      </c>
      <c r="E258" s="15"/>
      <c r="F258" s="383">
        <v>38.43</v>
      </c>
      <c r="G258" s="383">
        <v>0</v>
      </c>
      <c r="H258" s="4">
        <v>-4453.91</v>
      </c>
      <c r="I258" s="15" t="s">
        <v>982</v>
      </c>
    </row>
    <row r="259" spans="1:9" x14ac:dyDescent="0.2">
      <c r="A259" s="389">
        <v>6943</v>
      </c>
      <c r="B259" s="13">
        <v>42647</v>
      </c>
      <c r="C259" s="318" t="s">
        <v>579</v>
      </c>
      <c r="D259" s="316" t="s">
        <v>840</v>
      </c>
      <c r="E259" s="4"/>
      <c r="F259" s="4">
        <v>137.86000000000001</v>
      </c>
      <c r="G259" s="383">
        <v>0</v>
      </c>
      <c r="H259" s="36">
        <v>-9896.82</v>
      </c>
      <c r="I259" s="15" t="s">
        <v>982</v>
      </c>
    </row>
    <row r="260" spans="1:9" x14ac:dyDescent="0.2">
      <c r="A260" s="382">
        <v>6952</v>
      </c>
      <c r="B260" s="47">
        <v>42661</v>
      </c>
      <c r="C260" s="27" t="s">
        <v>579</v>
      </c>
      <c r="D260" s="15" t="s">
        <v>841</v>
      </c>
      <c r="E260" s="383"/>
      <c r="F260" s="36">
        <v>115.57</v>
      </c>
      <c r="G260" s="383">
        <v>0</v>
      </c>
      <c r="H260" s="36">
        <v>-11722.08</v>
      </c>
      <c r="I260" s="15" t="s">
        <v>982</v>
      </c>
    </row>
    <row r="261" spans="1:9" x14ac:dyDescent="0.2">
      <c r="A261" s="382">
        <v>6966</v>
      </c>
      <c r="B261" s="47">
        <v>42710</v>
      </c>
      <c r="C261" s="27" t="s">
        <v>579</v>
      </c>
      <c r="D261" s="15" t="s">
        <v>1008</v>
      </c>
      <c r="E261" s="383"/>
      <c r="F261" s="36">
        <v>157.16</v>
      </c>
      <c r="G261" s="383">
        <v>0</v>
      </c>
      <c r="H261" s="36">
        <v>-2734.34</v>
      </c>
      <c r="I261" s="15" t="s">
        <v>982</v>
      </c>
    </row>
    <row r="262" spans="1:9" x14ac:dyDescent="0.2">
      <c r="A262" s="382">
        <v>6967</v>
      </c>
      <c r="B262" s="47">
        <v>42710</v>
      </c>
      <c r="C262" s="27" t="s">
        <v>579</v>
      </c>
      <c r="D262" s="15" t="s">
        <v>1008</v>
      </c>
      <c r="E262" s="383"/>
      <c r="F262" s="36">
        <v>13.76</v>
      </c>
      <c r="G262" s="383">
        <v>0</v>
      </c>
      <c r="H262" s="36">
        <v>-2748.1</v>
      </c>
      <c r="I262" s="15" t="s">
        <v>982</v>
      </c>
    </row>
    <row r="263" spans="1:9" x14ac:dyDescent="0.2">
      <c r="A263" s="382">
        <v>6968</v>
      </c>
      <c r="B263" s="47">
        <v>42710</v>
      </c>
      <c r="C263" s="27" t="s">
        <v>579</v>
      </c>
      <c r="D263" s="15" t="s">
        <v>1008</v>
      </c>
      <c r="E263" s="383"/>
      <c r="F263" s="36">
        <v>18.45</v>
      </c>
      <c r="G263" s="383">
        <v>0</v>
      </c>
      <c r="H263" s="36">
        <v>-2808.06</v>
      </c>
      <c r="I263" s="15" t="s">
        <v>982</v>
      </c>
    </row>
    <row r="264" spans="1:9" x14ac:dyDescent="0.2">
      <c r="A264" s="389">
        <v>6986</v>
      </c>
      <c r="B264" s="13">
        <v>42738</v>
      </c>
      <c r="C264" s="318" t="s">
        <v>579</v>
      </c>
      <c r="D264" s="12" t="s">
        <v>1009</v>
      </c>
      <c r="E264" s="4"/>
      <c r="F264" s="4">
        <v>14</v>
      </c>
      <c r="G264" s="383">
        <v>0</v>
      </c>
      <c r="H264" s="36">
        <v>2881.45</v>
      </c>
      <c r="I264" s="15" t="s">
        <v>982</v>
      </c>
    </row>
    <row r="265" spans="1:9" x14ac:dyDescent="0.2">
      <c r="A265" s="389">
        <v>6780</v>
      </c>
      <c r="B265" s="13">
        <v>43835</v>
      </c>
      <c r="C265" s="14" t="s">
        <v>579</v>
      </c>
      <c r="D265" s="12" t="s">
        <v>1010</v>
      </c>
      <c r="E265" s="12"/>
      <c r="F265" s="383">
        <v>34</v>
      </c>
      <c r="G265" s="383">
        <v>0</v>
      </c>
      <c r="H265" s="4">
        <v>-342.22</v>
      </c>
      <c r="I265" s="15" t="s">
        <v>982</v>
      </c>
    </row>
    <row r="266" spans="1:9" x14ac:dyDescent="0.2">
      <c r="A266" s="387">
        <v>6801</v>
      </c>
      <c r="B266" s="47">
        <v>42402</v>
      </c>
      <c r="C266" s="27" t="s">
        <v>580</v>
      </c>
      <c r="D266" s="15" t="s">
        <v>1011</v>
      </c>
      <c r="E266" s="15"/>
      <c r="F266" s="383">
        <v>160</v>
      </c>
      <c r="G266" s="383">
        <v>0</v>
      </c>
      <c r="H266" s="4">
        <v>-5947.08</v>
      </c>
      <c r="I266" t="s">
        <v>1012</v>
      </c>
    </row>
    <row r="267" spans="1:9" x14ac:dyDescent="0.2">
      <c r="A267" s="387">
        <v>6830</v>
      </c>
      <c r="B267" s="47">
        <v>42444</v>
      </c>
      <c r="C267" s="27" t="s">
        <v>580</v>
      </c>
      <c r="D267" s="15" t="s">
        <v>1013</v>
      </c>
      <c r="E267" s="15"/>
      <c r="F267" s="383">
        <v>175</v>
      </c>
      <c r="G267" s="383">
        <v>0</v>
      </c>
      <c r="H267" s="4">
        <v>16405.2</v>
      </c>
      <c r="I267" t="s">
        <v>1012</v>
      </c>
    </row>
    <row r="268" spans="1:9" x14ac:dyDescent="0.2">
      <c r="A268" s="387">
        <v>9999</v>
      </c>
      <c r="B268" s="388">
        <v>42444</v>
      </c>
      <c r="C268" s="27" t="s">
        <v>580</v>
      </c>
      <c r="D268" s="15" t="s">
        <v>1014</v>
      </c>
      <c r="E268" s="44"/>
      <c r="F268" s="383">
        <v>174.1</v>
      </c>
      <c r="G268" s="383">
        <v>0</v>
      </c>
      <c r="H268" s="4">
        <v>13942.11</v>
      </c>
      <c r="I268" t="s">
        <v>1012</v>
      </c>
    </row>
    <row r="269" spans="1:9" x14ac:dyDescent="0.2">
      <c r="A269" s="387">
        <v>6849</v>
      </c>
      <c r="B269" s="388">
        <v>42479</v>
      </c>
      <c r="C269" s="27" t="s">
        <v>580</v>
      </c>
      <c r="D269" s="15" t="s">
        <v>1015</v>
      </c>
      <c r="E269" s="15"/>
      <c r="F269" s="383">
        <v>68.180000000000007</v>
      </c>
      <c r="G269" s="383">
        <v>0</v>
      </c>
      <c r="H269" s="4">
        <v>23951.93</v>
      </c>
      <c r="I269" t="s">
        <v>1012</v>
      </c>
    </row>
    <row r="270" spans="1:9" x14ac:dyDescent="0.2">
      <c r="A270" s="387">
        <v>6872</v>
      </c>
      <c r="B270" s="388">
        <v>42507</v>
      </c>
      <c r="C270" s="27" t="s">
        <v>580</v>
      </c>
      <c r="D270" s="15" t="s">
        <v>1016</v>
      </c>
      <c r="E270" s="15"/>
      <c r="F270" s="383">
        <v>56.92</v>
      </c>
      <c r="G270" s="383">
        <v>0</v>
      </c>
      <c r="H270" s="4">
        <v>-27544.3</v>
      </c>
      <c r="I270" t="s">
        <v>1012</v>
      </c>
    </row>
    <row r="271" spans="1:9" x14ac:dyDescent="0.2">
      <c r="A271" s="387">
        <v>6881</v>
      </c>
      <c r="B271" s="388">
        <v>42507</v>
      </c>
      <c r="C271" s="27" t="s">
        <v>580</v>
      </c>
      <c r="D271" s="15" t="s">
        <v>1017</v>
      </c>
      <c r="E271" s="15"/>
      <c r="F271" s="383">
        <v>1000</v>
      </c>
      <c r="G271" s="383">
        <v>0</v>
      </c>
      <c r="H271" s="4">
        <v>-31107.95</v>
      </c>
      <c r="I271" t="s">
        <v>1012</v>
      </c>
    </row>
    <row r="272" spans="1:9" x14ac:dyDescent="0.2">
      <c r="A272" s="387">
        <v>6882</v>
      </c>
      <c r="B272" s="388">
        <v>42507</v>
      </c>
      <c r="C272" s="27" t="s">
        <v>580</v>
      </c>
      <c r="D272" s="15" t="s">
        <v>900</v>
      </c>
      <c r="E272" s="15"/>
      <c r="F272" s="383">
        <v>300</v>
      </c>
      <c r="G272" s="383">
        <v>0</v>
      </c>
      <c r="H272" s="4">
        <v>-31407.95</v>
      </c>
      <c r="I272" t="s">
        <v>1012</v>
      </c>
    </row>
    <row r="273" spans="1:9" x14ac:dyDescent="0.2">
      <c r="A273" s="382">
        <v>6914</v>
      </c>
      <c r="B273" s="47">
        <v>42598</v>
      </c>
      <c r="C273" s="27" t="s">
        <v>580</v>
      </c>
      <c r="D273" s="15" t="s">
        <v>1018</v>
      </c>
      <c r="E273" s="383"/>
      <c r="F273" s="36">
        <v>275.20999999999998</v>
      </c>
      <c r="G273" s="383">
        <v>0</v>
      </c>
      <c r="H273" s="36">
        <v>-9529.0300000000007</v>
      </c>
      <c r="I273" t="s">
        <v>1012</v>
      </c>
    </row>
    <row r="274" spans="1:9" x14ac:dyDescent="0.2">
      <c r="A274" s="389">
        <v>6994</v>
      </c>
      <c r="B274" s="13">
        <v>42752</v>
      </c>
      <c r="C274" s="318" t="s">
        <v>580</v>
      </c>
      <c r="D274" s="316" t="s">
        <v>1019</v>
      </c>
      <c r="E274" s="4"/>
      <c r="F274" s="4">
        <v>250</v>
      </c>
      <c r="G274" s="383">
        <v>0</v>
      </c>
      <c r="H274" s="36">
        <v>17428.98</v>
      </c>
      <c r="I274" t="s">
        <v>1012</v>
      </c>
    </row>
    <row r="275" spans="1:9" x14ac:dyDescent="0.2">
      <c r="A275" s="387">
        <v>6868</v>
      </c>
      <c r="B275" s="388">
        <v>42493</v>
      </c>
      <c r="C275" s="27" t="s">
        <v>1020</v>
      </c>
      <c r="D275" s="15" t="s">
        <v>1021</v>
      </c>
      <c r="E275" s="15"/>
      <c r="F275" s="383">
        <v>1000</v>
      </c>
      <c r="G275" s="383">
        <v>0</v>
      </c>
      <c r="H275" s="4">
        <v>-19722.98</v>
      </c>
      <c r="I275" t="s">
        <v>1012</v>
      </c>
    </row>
    <row r="276" spans="1:9" x14ac:dyDescent="0.2">
      <c r="A276" s="382">
        <v>7011</v>
      </c>
      <c r="B276" s="385">
        <v>42773</v>
      </c>
      <c r="C276" s="386" t="s">
        <v>581</v>
      </c>
      <c r="D276" s="44" t="s">
        <v>1022</v>
      </c>
      <c r="E276" s="44"/>
      <c r="F276" s="36">
        <v>500</v>
      </c>
      <c r="G276" s="383">
        <v>0</v>
      </c>
      <c r="H276" s="36">
        <v>11948.45</v>
      </c>
      <c r="I276" t="s">
        <v>1012</v>
      </c>
    </row>
    <row r="277" spans="1:9" x14ac:dyDescent="0.2">
      <c r="A277" s="387">
        <v>6843</v>
      </c>
      <c r="B277" s="388">
        <v>42465</v>
      </c>
      <c r="C277" s="27" t="s">
        <v>582</v>
      </c>
      <c r="D277" s="15" t="s">
        <v>1023</v>
      </c>
      <c r="E277" s="15"/>
      <c r="F277" s="383">
        <v>500</v>
      </c>
      <c r="G277" s="383">
        <v>0</v>
      </c>
      <c r="H277" s="4">
        <v>26100.66</v>
      </c>
      <c r="I277" t="s">
        <v>1012</v>
      </c>
    </row>
    <row r="278" spans="1:9" x14ac:dyDescent="0.2">
      <c r="A278" s="382">
        <v>6958</v>
      </c>
      <c r="B278" s="47">
        <v>42675</v>
      </c>
      <c r="C278" s="27" t="s">
        <v>582</v>
      </c>
      <c r="D278" s="15" t="s">
        <v>1023</v>
      </c>
      <c r="E278" s="383"/>
      <c r="F278" s="36">
        <v>500</v>
      </c>
      <c r="G278" s="383">
        <v>0</v>
      </c>
      <c r="H278" s="36">
        <v>-24050</v>
      </c>
      <c r="I278" t="s">
        <v>1012</v>
      </c>
    </row>
    <row r="279" spans="1:9" x14ac:dyDescent="0.2">
      <c r="A279" s="389">
        <v>6973</v>
      </c>
      <c r="B279" s="13">
        <v>42710</v>
      </c>
      <c r="C279" s="318" t="s">
        <v>582</v>
      </c>
      <c r="D279" s="316" t="s">
        <v>1023</v>
      </c>
      <c r="E279" s="4"/>
      <c r="F279" s="4">
        <v>300</v>
      </c>
      <c r="G279" s="383">
        <v>0</v>
      </c>
      <c r="H279" s="36">
        <v>-7431.2</v>
      </c>
      <c r="I279" t="s">
        <v>1012</v>
      </c>
    </row>
    <row r="280" spans="1:9" x14ac:dyDescent="0.2">
      <c r="A280" s="382">
        <v>6959</v>
      </c>
      <c r="B280" s="47">
        <v>42675</v>
      </c>
      <c r="C280" s="27" t="s">
        <v>583</v>
      </c>
      <c r="D280" s="15" t="s">
        <v>380</v>
      </c>
      <c r="E280" s="383"/>
      <c r="F280" s="36">
        <v>440.8</v>
      </c>
      <c r="G280" s="383">
        <v>0</v>
      </c>
      <c r="H280" s="36">
        <v>-24490.799999999999</v>
      </c>
      <c r="I280" t="s">
        <v>1012</v>
      </c>
    </row>
    <row r="281" spans="1:9" x14ac:dyDescent="0.2">
      <c r="A281" s="387">
        <v>6823</v>
      </c>
      <c r="B281" s="388">
        <v>42430</v>
      </c>
      <c r="C281" s="27" t="s">
        <v>584</v>
      </c>
      <c r="D281" s="15" t="s">
        <v>1024</v>
      </c>
      <c r="E281" s="15"/>
      <c r="F281" s="383">
        <v>500</v>
      </c>
      <c r="G281" s="383">
        <v>0</v>
      </c>
      <c r="H281" s="4">
        <v>-6152.29</v>
      </c>
      <c r="I281" t="s">
        <v>1012</v>
      </c>
    </row>
    <row r="282" spans="1:9" x14ac:dyDescent="0.2">
      <c r="A282" s="387">
        <v>6860</v>
      </c>
      <c r="B282" s="388">
        <v>42493</v>
      </c>
      <c r="C282" s="27" t="s">
        <v>585</v>
      </c>
      <c r="D282" s="15" t="s">
        <v>1025</v>
      </c>
      <c r="E282" s="15"/>
      <c r="F282" s="383">
        <v>750</v>
      </c>
      <c r="G282" s="383">
        <v>0</v>
      </c>
      <c r="H282" s="4">
        <v>-15674.11</v>
      </c>
      <c r="I282" t="s">
        <v>1012</v>
      </c>
    </row>
    <row r="283" spans="1:9" x14ac:dyDescent="0.2">
      <c r="A283" s="387">
        <v>6870</v>
      </c>
      <c r="B283" s="388">
        <v>42507</v>
      </c>
      <c r="C283" s="27" t="s">
        <v>585</v>
      </c>
      <c r="D283" s="15" t="s">
        <v>1026</v>
      </c>
      <c r="E283" s="15"/>
      <c r="F283" s="383">
        <v>6750</v>
      </c>
      <c r="G283" s="383">
        <v>0</v>
      </c>
      <c r="H283" s="4">
        <v>-26972.98</v>
      </c>
      <c r="I283" t="s">
        <v>1012</v>
      </c>
    </row>
    <row r="284" spans="1:9" x14ac:dyDescent="0.2">
      <c r="A284" s="387">
        <v>6880</v>
      </c>
      <c r="B284" s="388">
        <v>42507</v>
      </c>
      <c r="C284" s="27" t="s">
        <v>585</v>
      </c>
      <c r="D284" s="15" t="s">
        <v>1027</v>
      </c>
      <c r="E284" s="15"/>
      <c r="F284" s="383">
        <v>97.06</v>
      </c>
      <c r="G284" s="383">
        <v>0</v>
      </c>
      <c r="H284" s="4">
        <v>-30107.95</v>
      </c>
      <c r="I284" t="s">
        <v>1012</v>
      </c>
    </row>
    <row r="285" spans="1:9" x14ac:dyDescent="0.2">
      <c r="A285" s="387">
        <v>6875</v>
      </c>
      <c r="B285" s="388">
        <v>42507</v>
      </c>
      <c r="C285" s="27" t="s">
        <v>1028</v>
      </c>
      <c r="D285" s="15" t="s">
        <v>1029</v>
      </c>
      <c r="E285" s="15"/>
      <c r="F285" s="383">
        <v>200</v>
      </c>
      <c r="G285" s="383">
        <v>0</v>
      </c>
      <c r="H285" s="4">
        <v>-29555.96</v>
      </c>
      <c r="I285" t="s">
        <v>1012</v>
      </c>
    </row>
    <row r="286" spans="1:9" x14ac:dyDescent="0.2">
      <c r="A286" s="387">
        <v>6817</v>
      </c>
      <c r="B286" s="388">
        <v>42416</v>
      </c>
      <c r="C286" s="27" t="s">
        <v>586</v>
      </c>
      <c r="D286" s="15" t="s">
        <v>1030</v>
      </c>
      <c r="E286" s="15"/>
      <c r="F286" s="383">
        <v>200</v>
      </c>
      <c r="G286" s="383">
        <v>0</v>
      </c>
      <c r="H286" s="4">
        <v>-4653.91</v>
      </c>
      <c r="I286" t="s">
        <v>1012</v>
      </c>
    </row>
    <row r="287" spans="1:9" x14ac:dyDescent="0.2">
      <c r="A287" s="387">
        <v>6853</v>
      </c>
      <c r="B287" s="388">
        <v>42479</v>
      </c>
      <c r="C287" s="27" t="s">
        <v>586</v>
      </c>
      <c r="D287" s="15" t="s">
        <v>1031</v>
      </c>
      <c r="E287" s="15"/>
      <c r="F287" s="383">
        <v>100</v>
      </c>
      <c r="G287" s="383">
        <v>0</v>
      </c>
      <c r="H287" s="4">
        <v>23310.25</v>
      </c>
      <c r="I287" t="s">
        <v>1012</v>
      </c>
    </row>
    <row r="288" spans="1:9" x14ac:dyDescent="0.2">
      <c r="A288" s="387">
        <v>6867</v>
      </c>
      <c r="B288" s="388">
        <v>42493</v>
      </c>
      <c r="C288" s="27" t="s">
        <v>586</v>
      </c>
      <c r="D288" s="15" t="s">
        <v>1032</v>
      </c>
      <c r="E288" s="15"/>
      <c r="F288" s="383">
        <v>100</v>
      </c>
      <c r="G288" s="383">
        <v>0</v>
      </c>
      <c r="H288" s="4">
        <v>-18722.98</v>
      </c>
      <c r="I288" t="s">
        <v>1012</v>
      </c>
    </row>
    <row r="289" spans="1:9" x14ac:dyDescent="0.2">
      <c r="A289" s="389">
        <v>6982</v>
      </c>
      <c r="B289" s="13">
        <v>42724</v>
      </c>
      <c r="C289" s="14" t="s">
        <v>587</v>
      </c>
      <c r="D289" s="12" t="s">
        <v>1033</v>
      </c>
      <c r="E289" s="4"/>
      <c r="F289" s="4">
        <v>145.43</v>
      </c>
      <c r="G289" s="383">
        <v>0</v>
      </c>
      <c r="H289" s="36">
        <v>-9377.36</v>
      </c>
      <c r="I289" t="s">
        <v>1012</v>
      </c>
    </row>
    <row r="290" spans="1:9" x14ac:dyDescent="0.2">
      <c r="A290" s="389">
        <v>6785</v>
      </c>
      <c r="B290" s="13">
        <v>42374</v>
      </c>
      <c r="C290" s="14" t="s">
        <v>588</v>
      </c>
      <c r="D290" s="12" t="s">
        <v>1034</v>
      </c>
      <c r="E290" s="12"/>
      <c r="F290" s="383">
        <v>2500</v>
      </c>
      <c r="G290" s="383">
        <v>0</v>
      </c>
      <c r="H290" s="4">
        <v>-4301.17</v>
      </c>
      <c r="I290" t="s">
        <v>1012</v>
      </c>
    </row>
    <row r="291" spans="1:9" x14ac:dyDescent="0.2">
      <c r="A291" s="382">
        <v>6918</v>
      </c>
      <c r="B291" s="47">
        <v>42598</v>
      </c>
      <c r="C291" s="27" t="s">
        <v>588</v>
      </c>
      <c r="D291" s="12" t="s">
        <v>1035</v>
      </c>
      <c r="E291" s="383"/>
      <c r="F291" s="36">
        <v>100</v>
      </c>
      <c r="G291" s="383">
        <v>0</v>
      </c>
      <c r="H291" s="36">
        <v>-11129.03</v>
      </c>
      <c r="I291" t="s">
        <v>1012</v>
      </c>
    </row>
    <row r="292" spans="1:9" x14ac:dyDescent="0.2">
      <c r="A292" s="382">
        <v>7028</v>
      </c>
      <c r="B292" s="385">
        <v>42801</v>
      </c>
      <c r="C292" s="386" t="s">
        <v>588</v>
      </c>
      <c r="D292" s="44" t="s">
        <v>1036</v>
      </c>
      <c r="E292" s="44"/>
      <c r="F292" s="36">
        <v>2000</v>
      </c>
      <c r="G292" s="383">
        <v>0</v>
      </c>
      <c r="H292" s="36">
        <v>3191.3626250000002</v>
      </c>
      <c r="I292" t="s">
        <v>1012</v>
      </c>
    </row>
    <row r="293" spans="1:9" x14ac:dyDescent="0.2">
      <c r="A293" s="382">
        <v>7036</v>
      </c>
      <c r="B293" s="385">
        <v>42815</v>
      </c>
      <c r="C293" s="386" t="s">
        <v>588</v>
      </c>
      <c r="D293" s="44" t="s">
        <v>1037</v>
      </c>
      <c r="E293" s="44"/>
      <c r="F293" s="36">
        <v>250</v>
      </c>
      <c r="G293" s="383">
        <v>0</v>
      </c>
      <c r="H293" s="36">
        <v>24552.082624999999</v>
      </c>
      <c r="I293" t="s">
        <v>1012</v>
      </c>
    </row>
    <row r="294" spans="1:9" x14ac:dyDescent="0.2">
      <c r="A294" s="387">
        <v>6883</v>
      </c>
      <c r="B294" s="388">
        <v>42528</v>
      </c>
      <c r="C294" s="27" t="s">
        <v>589</v>
      </c>
      <c r="D294" s="15" t="s">
        <v>1038</v>
      </c>
      <c r="E294" s="15"/>
      <c r="F294" s="383">
        <v>2000</v>
      </c>
      <c r="G294" s="383">
        <v>0</v>
      </c>
      <c r="H294" s="4">
        <v>-722.28000000000202</v>
      </c>
      <c r="I294" t="s">
        <v>1012</v>
      </c>
    </row>
    <row r="295" spans="1:9" x14ac:dyDescent="0.2">
      <c r="A295" s="376" t="s">
        <v>860</v>
      </c>
      <c r="B295" s="377" t="s">
        <v>6</v>
      </c>
      <c r="C295" s="378" t="s">
        <v>7</v>
      </c>
      <c r="D295" s="379" t="s">
        <v>594</v>
      </c>
      <c r="E295" s="379" t="s">
        <v>861</v>
      </c>
      <c r="F295" s="380" t="s">
        <v>596</v>
      </c>
      <c r="G295" s="380" t="s">
        <v>597</v>
      </c>
      <c r="H295" s="380" t="s">
        <v>598</v>
      </c>
    </row>
    <row r="296" spans="1:9" x14ac:dyDescent="0.2">
      <c r="A296" s="382"/>
      <c r="B296" s="47">
        <v>42552</v>
      </c>
      <c r="C296" s="27" t="s">
        <v>862</v>
      </c>
      <c r="D296" s="15" t="s">
        <v>600</v>
      </c>
      <c r="E296" s="383"/>
      <c r="F296" s="36">
        <v>0</v>
      </c>
      <c r="G296" s="36">
        <v>0</v>
      </c>
      <c r="H296" s="36">
        <v>0</v>
      </c>
    </row>
    <row r="297" spans="1:9" x14ac:dyDescent="0.2">
      <c r="A297" s="387" t="s">
        <v>618</v>
      </c>
      <c r="B297" s="47">
        <v>42374</v>
      </c>
      <c r="C297" s="27" t="s">
        <v>20</v>
      </c>
      <c r="D297" s="12" t="s">
        <v>1039</v>
      </c>
      <c r="E297" s="44"/>
      <c r="F297" s="383">
        <v>0</v>
      </c>
      <c r="G297" s="383">
        <v>1338</v>
      </c>
      <c r="H297" s="4">
        <v>-4164.83</v>
      </c>
    </row>
    <row r="298" spans="1:9" x14ac:dyDescent="0.2">
      <c r="A298" s="387" t="s">
        <v>618</v>
      </c>
      <c r="B298" s="47">
        <v>42374</v>
      </c>
      <c r="C298" s="27" t="s">
        <v>20</v>
      </c>
      <c r="D298" s="15" t="s">
        <v>1040</v>
      </c>
      <c r="E298" s="44"/>
      <c r="F298" s="383">
        <v>0</v>
      </c>
      <c r="G298" s="383">
        <v>993.65</v>
      </c>
      <c r="H298" s="4">
        <v>-3171.18</v>
      </c>
    </row>
    <row r="299" spans="1:9" x14ac:dyDescent="0.2">
      <c r="A299" s="387" t="s">
        <v>618</v>
      </c>
      <c r="B299" s="390">
        <v>42402</v>
      </c>
      <c r="C299" s="27" t="s">
        <v>20</v>
      </c>
      <c r="D299" s="11" t="s">
        <v>1041</v>
      </c>
      <c r="E299" s="44"/>
      <c r="F299" s="383">
        <v>0</v>
      </c>
      <c r="G299" s="383">
        <v>432</v>
      </c>
      <c r="H299" s="4">
        <v>-2550.67</v>
      </c>
    </row>
    <row r="300" spans="1:9" x14ac:dyDescent="0.2">
      <c r="A300" s="387" t="s">
        <v>618</v>
      </c>
      <c r="B300" s="390">
        <v>42402</v>
      </c>
      <c r="C300" s="27" t="s">
        <v>20</v>
      </c>
      <c r="D300" s="11" t="s">
        <v>1042</v>
      </c>
      <c r="E300" s="44"/>
      <c r="F300" s="383">
        <v>0</v>
      </c>
      <c r="G300" s="383">
        <v>498</v>
      </c>
      <c r="H300" s="4">
        <v>-2052.67</v>
      </c>
    </row>
    <row r="301" spans="1:9" x14ac:dyDescent="0.2">
      <c r="A301" s="387" t="s">
        <v>618</v>
      </c>
      <c r="B301" s="388">
        <v>42416</v>
      </c>
      <c r="C301" s="27" t="s">
        <v>20</v>
      </c>
      <c r="D301" s="391" t="s">
        <v>1041</v>
      </c>
      <c r="E301" s="392"/>
      <c r="F301" s="383">
        <v>0</v>
      </c>
      <c r="G301" s="383">
        <v>366</v>
      </c>
      <c r="H301" s="4">
        <v>-1515.09</v>
      </c>
    </row>
    <row r="302" spans="1:9" x14ac:dyDescent="0.2">
      <c r="A302" s="387" t="s">
        <v>618</v>
      </c>
      <c r="B302" s="388">
        <v>42416</v>
      </c>
      <c r="C302" s="27" t="s">
        <v>20</v>
      </c>
      <c r="D302" s="391" t="s">
        <v>671</v>
      </c>
      <c r="E302" s="392"/>
      <c r="F302" s="383">
        <v>0</v>
      </c>
      <c r="G302" s="383">
        <v>36</v>
      </c>
      <c r="H302" s="4">
        <v>-1479.09</v>
      </c>
    </row>
    <row r="303" spans="1:9" x14ac:dyDescent="0.2">
      <c r="A303" s="387" t="s">
        <v>618</v>
      </c>
      <c r="B303" s="390">
        <v>42430</v>
      </c>
      <c r="C303" s="27" t="s">
        <v>20</v>
      </c>
      <c r="D303" s="11" t="s">
        <v>1043</v>
      </c>
      <c r="E303" s="44"/>
      <c r="F303" s="383">
        <v>0</v>
      </c>
      <c r="G303" s="383">
        <v>33</v>
      </c>
      <c r="H303" s="4">
        <v>6936.11</v>
      </c>
    </row>
    <row r="304" spans="1:9" x14ac:dyDescent="0.2">
      <c r="A304" s="387" t="s">
        <v>618</v>
      </c>
      <c r="B304" s="390">
        <v>42430</v>
      </c>
      <c r="C304" s="27" t="s">
        <v>20</v>
      </c>
      <c r="D304" s="11" t="s">
        <v>1044</v>
      </c>
      <c r="E304" s="44"/>
      <c r="F304" s="383">
        <v>0</v>
      </c>
      <c r="G304" s="383">
        <v>30</v>
      </c>
      <c r="H304" s="4">
        <v>6981.11</v>
      </c>
    </row>
    <row r="305" spans="1:8" x14ac:dyDescent="0.2">
      <c r="A305" s="387" t="s">
        <v>618</v>
      </c>
      <c r="B305" s="390">
        <v>42430</v>
      </c>
      <c r="C305" s="27" t="s">
        <v>20</v>
      </c>
      <c r="D305" s="11" t="s">
        <v>1041</v>
      </c>
      <c r="E305" s="44"/>
      <c r="F305" s="383">
        <v>0</v>
      </c>
      <c r="G305" s="383">
        <v>216</v>
      </c>
      <c r="H305" s="4">
        <v>7223.61</v>
      </c>
    </row>
    <row r="306" spans="1:8" x14ac:dyDescent="0.2">
      <c r="A306" s="387" t="s">
        <v>618</v>
      </c>
      <c r="B306" s="390">
        <v>42430</v>
      </c>
      <c r="C306" s="27" t="s">
        <v>20</v>
      </c>
      <c r="D306" s="11" t="s">
        <v>1042</v>
      </c>
      <c r="E306" s="44"/>
      <c r="F306" s="383">
        <v>0</v>
      </c>
      <c r="G306" s="383">
        <v>204</v>
      </c>
      <c r="H306" s="4">
        <v>7427.61</v>
      </c>
    </row>
    <row r="307" spans="1:8" x14ac:dyDescent="0.2">
      <c r="A307" s="387" t="s">
        <v>618</v>
      </c>
      <c r="B307" s="390">
        <v>42444</v>
      </c>
      <c r="C307" s="27" t="s">
        <v>20</v>
      </c>
      <c r="D307" s="393" t="s">
        <v>1045</v>
      </c>
      <c r="E307" s="392"/>
      <c r="F307" s="383">
        <v>0</v>
      </c>
      <c r="G307" s="383">
        <v>13.5</v>
      </c>
      <c r="H307" s="4">
        <v>15801.18</v>
      </c>
    </row>
    <row r="308" spans="1:8" x14ac:dyDescent="0.2">
      <c r="A308" s="387" t="s">
        <v>618</v>
      </c>
      <c r="B308" s="390">
        <v>42444</v>
      </c>
      <c r="C308" s="27" t="s">
        <v>20</v>
      </c>
      <c r="D308" s="393" t="s">
        <v>1046</v>
      </c>
      <c r="E308" s="392"/>
      <c r="F308" s="383">
        <v>0</v>
      </c>
      <c r="G308" s="383">
        <v>13.5</v>
      </c>
      <c r="H308" s="4">
        <v>15829.68</v>
      </c>
    </row>
    <row r="309" spans="1:8" x14ac:dyDescent="0.2">
      <c r="A309" s="387" t="s">
        <v>618</v>
      </c>
      <c r="B309" s="390">
        <v>42444</v>
      </c>
      <c r="C309" s="27" t="s">
        <v>20</v>
      </c>
      <c r="D309" s="393" t="s">
        <v>1047</v>
      </c>
      <c r="E309" s="392"/>
      <c r="F309" s="383">
        <v>0</v>
      </c>
      <c r="G309" s="383">
        <v>13.5</v>
      </c>
      <c r="H309" s="4">
        <v>15858.18</v>
      </c>
    </row>
    <row r="310" spans="1:8" x14ac:dyDescent="0.2">
      <c r="A310" s="387" t="s">
        <v>618</v>
      </c>
      <c r="B310" s="390">
        <v>42444</v>
      </c>
      <c r="C310" s="27" t="s">
        <v>20</v>
      </c>
      <c r="D310" s="393" t="s">
        <v>1048</v>
      </c>
      <c r="E310" s="392"/>
      <c r="F310" s="383">
        <v>0</v>
      </c>
      <c r="G310" s="383">
        <v>27</v>
      </c>
      <c r="H310" s="4">
        <v>15900.18</v>
      </c>
    </row>
    <row r="311" spans="1:8" x14ac:dyDescent="0.2">
      <c r="A311" s="387" t="s">
        <v>618</v>
      </c>
      <c r="B311" s="390">
        <v>42444</v>
      </c>
      <c r="C311" s="27" t="s">
        <v>20</v>
      </c>
      <c r="D311" s="393" t="s">
        <v>1041</v>
      </c>
      <c r="E311" s="392"/>
      <c r="F311" s="383">
        <v>0</v>
      </c>
      <c r="G311" s="383">
        <v>372</v>
      </c>
      <c r="H311" s="4">
        <v>16345.58</v>
      </c>
    </row>
    <row r="312" spans="1:8" x14ac:dyDescent="0.2">
      <c r="A312" s="387" t="s">
        <v>618</v>
      </c>
      <c r="B312" s="390">
        <v>42444</v>
      </c>
      <c r="C312" s="27" t="s">
        <v>20</v>
      </c>
      <c r="D312" s="393" t="s">
        <v>1042</v>
      </c>
      <c r="E312" s="392"/>
      <c r="F312" s="383">
        <v>0</v>
      </c>
      <c r="G312" s="383">
        <v>276</v>
      </c>
      <c r="H312" s="4">
        <v>16621.580000000002</v>
      </c>
    </row>
    <row r="313" spans="1:8" x14ac:dyDescent="0.2">
      <c r="A313" s="387" t="s">
        <v>618</v>
      </c>
      <c r="B313" s="47">
        <v>42570</v>
      </c>
      <c r="C313" s="27" t="s">
        <v>20</v>
      </c>
      <c r="D313" s="15" t="s">
        <v>1049</v>
      </c>
      <c r="E313" s="383"/>
      <c r="F313" s="36">
        <v>0</v>
      </c>
      <c r="G313" s="36">
        <v>180</v>
      </c>
      <c r="H313" s="36">
        <v>170.25</v>
      </c>
    </row>
    <row r="314" spans="1:8" x14ac:dyDescent="0.2">
      <c r="A314" s="387" t="s">
        <v>618</v>
      </c>
      <c r="B314" s="47">
        <v>42598</v>
      </c>
      <c r="C314" s="27" t="s">
        <v>20</v>
      </c>
      <c r="D314" s="15" t="s">
        <v>1049</v>
      </c>
      <c r="E314" s="383"/>
      <c r="F314" s="36">
        <v>0</v>
      </c>
      <c r="G314" s="36">
        <v>180</v>
      </c>
      <c r="H314" s="36">
        <v>-4424.74</v>
      </c>
    </row>
    <row r="315" spans="1:8" x14ac:dyDescent="0.2">
      <c r="A315" s="387" t="s">
        <v>618</v>
      </c>
      <c r="B315" s="13">
        <v>42598</v>
      </c>
      <c r="C315" s="27" t="s">
        <v>20</v>
      </c>
      <c r="D315" s="12" t="s">
        <v>1050</v>
      </c>
      <c r="E315" s="4"/>
      <c r="F315" s="36">
        <v>0</v>
      </c>
      <c r="G315" s="36">
        <v>72</v>
      </c>
      <c r="H315" s="36">
        <v>-4291.79</v>
      </c>
    </row>
    <row r="316" spans="1:8" x14ac:dyDescent="0.2">
      <c r="A316" s="387" t="s">
        <v>618</v>
      </c>
      <c r="B316" s="47">
        <v>42619</v>
      </c>
      <c r="C316" s="27" t="s">
        <v>20</v>
      </c>
      <c r="D316" s="15" t="s">
        <v>1049</v>
      </c>
      <c r="E316" s="383"/>
      <c r="F316" s="36">
        <v>0</v>
      </c>
      <c r="G316" s="36">
        <v>40</v>
      </c>
      <c r="H316" s="36">
        <v>-10782.17</v>
      </c>
    </row>
    <row r="317" spans="1:8" x14ac:dyDescent="0.2">
      <c r="A317" s="387" t="s">
        <v>618</v>
      </c>
      <c r="B317" s="47">
        <v>42645</v>
      </c>
      <c r="C317" s="27" t="s">
        <v>20</v>
      </c>
      <c r="D317" s="15" t="s">
        <v>1049</v>
      </c>
      <c r="E317" s="383"/>
      <c r="F317" s="36">
        <v>0</v>
      </c>
      <c r="G317" s="36">
        <v>212.95</v>
      </c>
      <c r="H317" s="36">
        <v>-15650.38</v>
      </c>
    </row>
    <row r="318" spans="1:8" x14ac:dyDescent="0.2">
      <c r="A318" s="387" t="s">
        <v>618</v>
      </c>
      <c r="B318" s="47">
        <v>42645</v>
      </c>
      <c r="C318" s="27" t="s">
        <v>20</v>
      </c>
      <c r="D318" s="15" t="s">
        <v>1049</v>
      </c>
      <c r="E318" s="383"/>
      <c r="F318" s="36">
        <v>0</v>
      </c>
      <c r="G318" s="36">
        <v>156</v>
      </c>
      <c r="H318" s="36">
        <v>-10161.209999999999</v>
      </c>
    </row>
    <row r="319" spans="1:8" x14ac:dyDescent="0.2">
      <c r="A319" s="387" t="s">
        <v>618</v>
      </c>
      <c r="B319" s="47">
        <v>42661</v>
      </c>
      <c r="C319" s="27" t="s">
        <v>20</v>
      </c>
      <c r="D319" s="15" t="s">
        <v>1049</v>
      </c>
      <c r="E319" s="383"/>
      <c r="F319" s="36">
        <v>0</v>
      </c>
      <c r="G319" s="36">
        <v>45</v>
      </c>
      <c r="H319" s="36">
        <v>-20698.099999999999</v>
      </c>
    </row>
    <row r="320" spans="1:8" x14ac:dyDescent="0.2">
      <c r="A320" s="387" t="s">
        <v>618</v>
      </c>
      <c r="B320" s="47">
        <v>42675</v>
      </c>
      <c r="C320" s="27" t="s">
        <v>20</v>
      </c>
      <c r="D320" s="15" t="s">
        <v>1049</v>
      </c>
      <c r="E320" s="383"/>
      <c r="F320" s="36">
        <v>0</v>
      </c>
      <c r="G320" s="36">
        <v>72</v>
      </c>
      <c r="H320" s="36">
        <v>-19864.29</v>
      </c>
    </row>
    <row r="321" spans="1:8" x14ac:dyDescent="0.2">
      <c r="A321" s="387" t="s">
        <v>618</v>
      </c>
      <c r="B321" s="385">
        <v>42689</v>
      </c>
      <c r="C321" s="386" t="s">
        <v>20</v>
      </c>
      <c r="D321" s="44" t="s">
        <v>1051</v>
      </c>
      <c r="E321" s="44"/>
      <c r="F321" s="36">
        <v>0</v>
      </c>
      <c r="G321" s="394">
        <v>9</v>
      </c>
      <c r="H321" s="36">
        <v>-29555.24</v>
      </c>
    </row>
    <row r="322" spans="1:8" x14ac:dyDescent="0.2">
      <c r="A322" s="387" t="s">
        <v>618</v>
      </c>
      <c r="B322" s="13">
        <v>42689</v>
      </c>
      <c r="C322" s="318" t="s">
        <v>20</v>
      </c>
      <c r="D322" s="316" t="s">
        <v>1049</v>
      </c>
      <c r="E322" s="4"/>
      <c r="F322" s="36">
        <v>0</v>
      </c>
      <c r="G322" s="36">
        <v>74</v>
      </c>
      <c r="H322" s="36">
        <v>-29466.240000000002</v>
      </c>
    </row>
    <row r="323" spans="1:8" x14ac:dyDescent="0.2">
      <c r="A323" s="387" t="s">
        <v>618</v>
      </c>
      <c r="B323" s="47">
        <v>42710</v>
      </c>
      <c r="C323" s="27" t="s">
        <v>20</v>
      </c>
      <c r="D323" s="15" t="s">
        <v>1051</v>
      </c>
      <c r="E323" s="383"/>
      <c r="F323" s="36">
        <v>0</v>
      </c>
      <c r="G323" s="36">
        <v>51</v>
      </c>
      <c r="H323" s="36">
        <v>-2731.68</v>
      </c>
    </row>
    <row r="324" spans="1:8" x14ac:dyDescent="0.2">
      <c r="A324" s="387" t="s">
        <v>618</v>
      </c>
      <c r="B324" s="47">
        <v>42710</v>
      </c>
      <c r="C324" s="27" t="s">
        <v>20</v>
      </c>
      <c r="D324" s="15" t="s">
        <v>1049</v>
      </c>
      <c r="E324" s="383"/>
      <c r="F324" s="36">
        <v>0</v>
      </c>
      <c r="G324" s="36">
        <v>72</v>
      </c>
      <c r="H324" s="36">
        <v>-2584.6799999999998</v>
      </c>
    </row>
    <row r="325" spans="1:8" x14ac:dyDescent="0.2">
      <c r="A325" s="387" t="s">
        <v>618</v>
      </c>
      <c r="B325" s="13">
        <v>42724</v>
      </c>
      <c r="C325" s="318" t="s">
        <v>20</v>
      </c>
      <c r="D325" s="316" t="s">
        <v>1049</v>
      </c>
      <c r="E325" s="4"/>
      <c r="F325" s="36">
        <v>0</v>
      </c>
      <c r="G325" s="36">
        <v>1161.98</v>
      </c>
      <c r="H325" s="36">
        <v>2941.99</v>
      </c>
    </row>
    <row r="326" spans="1:8" x14ac:dyDescent="0.2">
      <c r="A326" s="387" t="s">
        <v>618</v>
      </c>
      <c r="B326" s="47">
        <v>42738</v>
      </c>
      <c r="C326" s="27" t="s">
        <v>20</v>
      </c>
      <c r="D326" s="15" t="s">
        <v>1049</v>
      </c>
      <c r="E326" s="383"/>
      <c r="F326" s="36">
        <v>0</v>
      </c>
      <c r="G326" s="36">
        <v>901</v>
      </c>
      <c r="H326" s="36">
        <v>11712.04</v>
      </c>
    </row>
    <row r="327" spans="1:8" x14ac:dyDescent="0.2">
      <c r="A327" s="387" t="s">
        <v>618</v>
      </c>
      <c r="B327" s="47">
        <v>42738</v>
      </c>
      <c r="C327" s="27" t="s">
        <v>20</v>
      </c>
      <c r="D327" s="15" t="s">
        <v>1049</v>
      </c>
      <c r="E327" s="383"/>
      <c r="F327" s="36">
        <v>0</v>
      </c>
      <c r="G327" s="36">
        <v>1353.65</v>
      </c>
      <c r="H327" s="36">
        <v>13067.69</v>
      </c>
    </row>
    <row r="328" spans="1:8" x14ac:dyDescent="0.2">
      <c r="A328" s="387" t="s">
        <v>618</v>
      </c>
      <c r="B328" s="47">
        <v>42738</v>
      </c>
      <c r="C328" s="27" t="s">
        <v>20</v>
      </c>
      <c r="D328" s="15" t="s">
        <v>1049</v>
      </c>
      <c r="E328" s="383"/>
      <c r="F328" s="36">
        <v>0</v>
      </c>
      <c r="G328" s="36">
        <v>36</v>
      </c>
      <c r="H328" s="36">
        <v>13158.44</v>
      </c>
    </row>
    <row r="329" spans="1:8" x14ac:dyDescent="0.2">
      <c r="A329" s="387" t="s">
        <v>618</v>
      </c>
      <c r="B329" s="47">
        <v>42752</v>
      </c>
      <c r="C329" s="27" t="s">
        <v>20</v>
      </c>
      <c r="D329" s="15" t="s">
        <v>671</v>
      </c>
      <c r="E329" s="383"/>
      <c r="F329" s="36">
        <v>0</v>
      </c>
      <c r="G329" s="36">
        <v>1144</v>
      </c>
      <c r="H329" s="36">
        <v>17091.89</v>
      </c>
    </row>
    <row r="330" spans="1:8" x14ac:dyDescent="0.2">
      <c r="A330" s="387" t="s">
        <v>618</v>
      </c>
      <c r="B330" s="47">
        <v>42752</v>
      </c>
      <c r="C330" s="27" t="s">
        <v>20</v>
      </c>
      <c r="D330" s="15" t="s">
        <v>671</v>
      </c>
      <c r="E330" s="383"/>
      <c r="F330" s="36">
        <v>0</v>
      </c>
      <c r="G330" s="36">
        <v>366</v>
      </c>
      <c r="H330" s="36">
        <v>17565.740000000002</v>
      </c>
    </row>
    <row r="331" spans="1:8" x14ac:dyDescent="0.2">
      <c r="A331" s="387" t="s">
        <v>618</v>
      </c>
      <c r="B331" s="47">
        <v>42752</v>
      </c>
      <c r="C331" s="27" t="s">
        <v>20</v>
      </c>
      <c r="D331" s="15" t="s">
        <v>671</v>
      </c>
      <c r="E331" s="383"/>
      <c r="F331" s="36">
        <v>0</v>
      </c>
      <c r="G331" s="36">
        <v>115.52</v>
      </c>
      <c r="H331" s="36">
        <v>17714.11</v>
      </c>
    </row>
    <row r="332" spans="1:8" x14ac:dyDescent="0.2">
      <c r="A332" s="387" t="s">
        <v>618</v>
      </c>
      <c r="B332" s="385">
        <v>42773</v>
      </c>
      <c r="C332" s="386" t="s">
        <v>20</v>
      </c>
      <c r="D332" s="44" t="s">
        <v>671</v>
      </c>
      <c r="E332" s="44"/>
      <c r="F332" s="36">
        <v>0</v>
      </c>
      <c r="G332" s="36">
        <v>692</v>
      </c>
      <c r="H332" s="36">
        <v>12792.55</v>
      </c>
    </row>
    <row r="333" spans="1:8" x14ac:dyDescent="0.2">
      <c r="A333" s="387" t="s">
        <v>618</v>
      </c>
      <c r="B333" s="385">
        <v>42773</v>
      </c>
      <c r="C333" s="386" t="s">
        <v>20</v>
      </c>
      <c r="D333" s="44" t="s">
        <v>671</v>
      </c>
      <c r="E333" s="44"/>
      <c r="F333" s="36">
        <v>0</v>
      </c>
      <c r="G333" s="36">
        <v>35.982500000000002</v>
      </c>
      <c r="H333" s="36">
        <v>12887.932500000001</v>
      </c>
    </row>
    <row r="334" spans="1:8" x14ac:dyDescent="0.2">
      <c r="A334" s="387" t="s">
        <v>618</v>
      </c>
      <c r="B334" s="385">
        <v>42773</v>
      </c>
      <c r="C334" s="386" t="s">
        <v>20</v>
      </c>
      <c r="D334" s="44" t="s">
        <v>671</v>
      </c>
      <c r="E334" s="44"/>
      <c r="F334" s="36">
        <v>0</v>
      </c>
      <c r="G334" s="36">
        <v>69</v>
      </c>
      <c r="H334" s="36">
        <v>12956.932500000001</v>
      </c>
    </row>
    <row r="335" spans="1:8" x14ac:dyDescent="0.2">
      <c r="A335" s="387" t="s">
        <v>618</v>
      </c>
      <c r="B335" s="385">
        <v>42787</v>
      </c>
      <c r="C335" s="386" t="s">
        <v>20</v>
      </c>
      <c r="D335" s="44" t="s">
        <v>671</v>
      </c>
      <c r="E335" s="44"/>
      <c r="F335" s="36">
        <v>0</v>
      </c>
      <c r="G335" s="36">
        <v>590</v>
      </c>
      <c r="H335" s="36">
        <v>13773.27</v>
      </c>
    </row>
    <row r="336" spans="1:8" x14ac:dyDescent="0.2">
      <c r="A336" s="387" t="s">
        <v>618</v>
      </c>
      <c r="B336" s="385">
        <v>42787</v>
      </c>
      <c r="C336" s="386" t="s">
        <v>20</v>
      </c>
      <c r="D336" s="44" t="s">
        <v>671</v>
      </c>
      <c r="E336" s="44"/>
      <c r="F336" s="36">
        <v>0</v>
      </c>
      <c r="G336" s="36">
        <v>198.389625</v>
      </c>
      <c r="H336" s="36">
        <v>14013.809625</v>
      </c>
    </row>
    <row r="337" spans="1:9" x14ac:dyDescent="0.2">
      <c r="A337" s="387" t="s">
        <v>618</v>
      </c>
      <c r="B337" s="385">
        <v>42801</v>
      </c>
      <c r="C337" s="386" t="s">
        <v>20</v>
      </c>
      <c r="D337" s="44" t="s">
        <v>1052</v>
      </c>
      <c r="E337" s="44"/>
      <c r="F337" s="36">
        <v>0</v>
      </c>
      <c r="G337" s="36">
        <v>244</v>
      </c>
      <c r="H337" s="36">
        <v>18042.032625</v>
      </c>
    </row>
    <row r="338" spans="1:9" x14ac:dyDescent="0.2">
      <c r="A338" s="387" t="s">
        <v>618</v>
      </c>
      <c r="B338" s="385">
        <v>42801</v>
      </c>
      <c r="C338" s="386" t="s">
        <v>20</v>
      </c>
      <c r="D338" s="44" t="s">
        <v>1053</v>
      </c>
      <c r="E338" s="44"/>
      <c r="F338" s="36">
        <v>0</v>
      </c>
      <c r="G338" s="36">
        <v>356.07</v>
      </c>
      <c r="H338" s="36">
        <v>18423.652624999999</v>
      </c>
    </row>
    <row r="339" spans="1:9" x14ac:dyDescent="0.2">
      <c r="A339" s="387" t="s">
        <v>618</v>
      </c>
      <c r="B339" s="385">
        <v>42801</v>
      </c>
      <c r="C339" s="386" t="s">
        <v>20</v>
      </c>
      <c r="D339" s="44" t="s">
        <v>1054</v>
      </c>
      <c r="E339" s="44"/>
      <c r="F339" s="36">
        <v>0</v>
      </c>
      <c r="G339" s="36">
        <v>36</v>
      </c>
      <c r="H339" s="36">
        <v>18470.502625000001</v>
      </c>
    </row>
    <row r="340" spans="1:9" x14ac:dyDescent="0.2">
      <c r="A340" s="387" t="s">
        <v>618</v>
      </c>
      <c r="B340" s="385">
        <v>42815</v>
      </c>
      <c r="C340" s="386" t="s">
        <v>20</v>
      </c>
      <c r="D340" s="44" t="s">
        <v>1052</v>
      </c>
      <c r="E340" s="44"/>
      <c r="F340" s="36">
        <v>0</v>
      </c>
      <c r="G340" s="36">
        <v>1640</v>
      </c>
      <c r="H340" s="36">
        <v>26552.152624999999</v>
      </c>
      <c r="I340" s="54">
        <f>SUM(G297:G341)</f>
        <v>15295.522125</v>
      </c>
    </row>
    <row r="341" spans="1:9" x14ac:dyDescent="0.2">
      <c r="A341" s="387" t="s">
        <v>618</v>
      </c>
      <c r="B341" s="385">
        <v>42815</v>
      </c>
      <c r="C341" s="386" t="s">
        <v>20</v>
      </c>
      <c r="D341" s="44" t="s">
        <v>1053</v>
      </c>
      <c r="E341" s="44"/>
      <c r="F341" s="36">
        <v>0</v>
      </c>
      <c r="G341" s="36">
        <v>329.83</v>
      </c>
      <c r="H341" s="36">
        <v>27042.582624999999</v>
      </c>
    </row>
    <row r="342" spans="1:9" x14ac:dyDescent="0.2">
      <c r="A342" s="387" t="s">
        <v>618</v>
      </c>
      <c r="B342" s="13">
        <v>42374</v>
      </c>
      <c r="C342" s="14" t="s">
        <v>23</v>
      </c>
      <c r="D342" s="12" t="s">
        <v>639</v>
      </c>
      <c r="E342" s="12"/>
      <c r="F342" s="383">
        <v>0</v>
      </c>
      <c r="G342" s="383">
        <v>851.17</v>
      </c>
      <c r="H342" s="4">
        <v>-6819.53</v>
      </c>
    </row>
    <row r="343" spans="1:9" x14ac:dyDescent="0.2">
      <c r="A343" s="387" t="s">
        <v>618</v>
      </c>
      <c r="B343" s="390">
        <v>42402</v>
      </c>
      <c r="C343" s="27" t="s">
        <v>23</v>
      </c>
      <c r="D343" s="11" t="s">
        <v>1055</v>
      </c>
      <c r="E343" s="44"/>
      <c r="F343" s="383">
        <v>0</v>
      </c>
      <c r="G343" s="383">
        <v>28.76</v>
      </c>
      <c r="H343" s="4">
        <v>-3037.42</v>
      </c>
    </row>
    <row r="344" spans="1:9" x14ac:dyDescent="0.2">
      <c r="A344" s="387" t="s">
        <v>618</v>
      </c>
      <c r="B344" s="388">
        <v>42416</v>
      </c>
      <c r="C344" s="27" t="s">
        <v>23</v>
      </c>
      <c r="D344" s="391" t="s">
        <v>1055</v>
      </c>
      <c r="E344" s="392"/>
      <c r="F344" s="383">
        <v>0</v>
      </c>
      <c r="G344" s="383">
        <v>12.78</v>
      </c>
      <c r="H344" s="4">
        <v>-1925.84</v>
      </c>
    </row>
    <row r="345" spans="1:9" x14ac:dyDescent="0.2">
      <c r="A345" s="387" t="s">
        <v>618</v>
      </c>
      <c r="B345" s="390">
        <v>42430</v>
      </c>
      <c r="C345" s="27" t="s">
        <v>23</v>
      </c>
      <c r="D345" s="11" t="s">
        <v>1056</v>
      </c>
      <c r="E345" s="44"/>
      <c r="F345" s="383">
        <v>0</v>
      </c>
      <c r="G345" s="383">
        <v>595</v>
      </c>
      <c r="H345" s="4">
        <v>-7896.02</v>
      </c>
    </row>
    <row r="346" spans="1:9" x14ac:dyDescent="0.2">
      <c r="A346" s="387" t="s">
        <v>618</v>
      </c>
      <c r="B346" s="390">
        <v>42430</v>
      </c>
      <c r="C346" s="27" t="s">
        <v>23</v>
      </c>
      <c r="D346" s="11" t="s">
        <v>1055</v>
      </c>
      <c r="E346" s="44"/>
      <c r="F346" s="383">
        <v>0</v>
      </c>
      <c r="G346" s="383">
        <v>12.78</v>
      </c>
      <c r="H346" s="4">
        <v>-6275.89</v>
      </c>
    </row>
    <row r="347" spans="1:9" x14ac:dyDescent="0.2">
      <c r="A347" s="387" t="s">
        <v>618</v>
      </c>
      <c r="B347" s="390">
        <v>42444</v>
      </c>
      <c r="C347" s="27" t="s">
        <v>23</v>
      </c>
      <c r="D347" s="30" t="s">
        <v>1056</v>
      </c>
      <c r="E347" s="392"/>
      <c r="F347" s="383">
        <v>0</v>
      </c>
      <c r="G347" s="383">
        <v>927.87</v>
      </c>
      <c r="H347" s="4">
        <v>9415.98</v>
      </c>
    </row>
    <row r="348" spans="1:9" x14ac:dyDescent="0.2">
      <c r="A348" s="387" t="s">
        <v>618</v>
      </c>
      <c r="B348" s="47">
        <v>42645</v>
      </c>
      <c r="C348" s="27" t="s">
        <v>23</v>
      </c>
      <c r="D348" s="15" t="s">
        <v>639</v>
      </c>
      <c r="E348" s="383"/>
      <c r="F348" s="36">
        <v>0</v>
      </c>
      <c r="G348" s="36">
        <v>451</v>
      </c>
      <c r="H348" s="36">
        <v>-16057.33</v>
      </c>
    </row>
    <row r="349" spans="1:9" x14ac:dyDescent="0.2">
      <c r="A349" s="387" t="s">
        <v>618</v>
      </c>
      <c r="B349" s="47">
        <v>42661</v>
      </c>
      <c r="C349" s="27" t="s">
        <v>23</v>
      </c>
      <c r="D349" s="15" t="s">
        <v>1057</v>
      </c>
      <c r="E349" s="383"/>
      <c r="F349" s="36">
        <v>0</v>
      </c>
      <c r="G349" s="36">
        <v>8.98</v>
      </c>
      <c r="H349" s="36">
        <v>-21645.1</v>
      </c>
    </row>
    <row r="350" spans="1:9" x14ac:dyDescent="0.2">
      <c r="A350" s="387" t="s">
        <v>618</v>
      </c>
      <c r="B350" s="13">
        <v>42675</v>
      </c>
      <c r="C350" s="318" t="s">
        <v>23</v>
      </c>
      <c r="D350" s="316" t="s">
        <v>639</v>
      </c>
      <c r="E350" s="4"/>
      <c r="F350" s="36">
        <v>0</v>
      </c>
      <c r="G350" s="36">
        <v>900</v>
      </c>
      <c r="H350" s="36">
        <v>-22797.79</v>
      </c>
    </row>
    <row r="351" spans="1:9" x14ac:dyDescent="0.2">
      <c r="A351" s="387" t="s">
        <v>618</v>
      </c>
      <c r="B351" s="13">
        <v>42675</v>
      </c>
      <c r="C351" s="318" t="s">
        <v>23</v>
      </c>
      <c r="D351" s="316" t="s">
        <v>887</v>
      </c>
      <c r="E351" s="4"/>
      <c r="F351" s="36">
        <v>0</v>
      </c>
      <c r="G351" s="36">
        <v>134</v>
      </c>
      <c r="H351" s="36">
        <v>-22663.79</v>
      </c>
    </row>
    <row r="352" spans="1:9" x14ac:dyDescent="0.2">
      <c r="A352" s="387" t="s">
        <v>618</v>
      </c>
      <c r="B352" s="13">
        <v>42689</v>
      </c>
      <c r="C352" s="318" t="s">
        <v>23</v>
      </c>
      <c r="D352" s="12" t="s">
        <v>1057</v>
      </c>
      <c r="E352" s="4"/>
      <c r="F352" s="36">
        <v>0</v>
      </c>
      <c r="G352" s="36">
        <v>8.98</v>
      </c>
      <c r="H352" s="36">
        <v>-29758.240000000002</v>
      </c>
    </row>
    <row r="353" spans="1:8" x14ac:dyDescent="0.2">
      <c r="A353" s="387" t="s">
        <v>618</v>
      </c>
      <c r="B353" s="47">
        <v>42724</v>
      </c>
      <c r="C353" s="27" t="s">
        <v>23</v>
      </c>
      <c r="D353" s="15" t="s">
        <v>730</v>
      </c>
      <c r="E353" s="383"/>
      <c r="F353" s="36">
        <v>0</v>
      </c>
      <c r="G353" s="36">
        <v>924</v>
      </c>
      <c r="H353" s="36">
        <v>-7637.15</v>
      </c>
    </row>
    <row r="354" spans="1:8" x14ac:dyDescent="0.2">
      <c r="A354" s="387" t="s">
        <v>618</v>
      </c>
      <c r="B354" s="13">
        <v>42724</v>
      </c>
      <c r="C354" s="318" t="s">
        <v>23</v>
      </c>
      <c r="D354" s="12" t="s">
        <v>1058</v>
      </c>
      <c r="E354" s="4"/>
      <c r="F354" s="36">
        <v>0</v>
      </c>
      <c r="G354" s="36">
        <v>11.98</v>
      </c>
      <c r="H354" s="36">
        <v>-7532.37</v>
      </c>
    </row>
    <row r="355" spans="1:8" x14ac:dyDescent="0.2">
      <c r="A355" s="387" t="s">
        <v>618</v>
      </c>
      <c r="B355" s="47">
        <v>42752</v>
      </c>
      <c r="C355" s="27" t="s">
        <v>23</v>
      </c>
      <c r="D355" s="15" t="s">
        <v>639</v>
      </c>
      <c r="E355" s="383"/>
      <c r="F355" s="36">
        <v>0</v>
      </c>
      <c r="G355" s="36">
        <v>886</v>
      </c>
      <c r="H355" s="36">
        <v>15054.04</v>
      </c>
    </row>
    <row r="356" spans="1:8" x14ac:dyDescent="0.2">
      <c r="A356" s="387" t="s">
        <v>618</v>
      </c>
      <c r="B356" s="47">
        <v>42752</v>
      </c>
      <c r="C356" s="27" t="s">
        <v>23</v>
      </c>
      <c r="D356" s="15" t="s">
        <v>1057</v>
      </c>
      <c r="E356" s="383"/>
      <c r="F356" s="36">
        <v>0</v>
      </c>
      <c r="G356" s="36">
        <v>8.98</v>
      </c>
      <c r="H356" s="36">
        <v>15240.39</v>
      </c>
    </row>
    <row r="357" spans="1:8" x14ac:dyDescent="0.2">
      <c r="A357" s="387" t="s">
        <v>618</v>
      </c>
      <c r="B357" s="385">
        <v>42801</v>
      </c>
      <c r="C357" s="386" t="s">
        <v>23</v>
      </c>
      <c r="D357" s="44" t="s">
        <v>733</v>
      </c>
      <c r="E357" s="44"/>
      <c r="F357" s="36">
        <v>0</v>
      </c>
      <c r="G357" s="36">
        <v>38.9</v>
      </c>
      <c r="H357" s="36">
        <v>4416.4726250000003</v>
      </c>
    </row>
    <row r="358" spans="1:8" x14ac:dyDescent="0.2">
      <c r="A358" s="387" t="s">
        <v>618</v>
      </c>
      <c r="B358" s="385">
        <v>42801</v>
      </c>
      <c r="C358" s="386" t="s">
        <v>23</v>
      </c>
      <c r="D358" s="44" t="s">
        <v>733</v>
      </c>
      <c r="E358" s="44"/>
      <c r="F358" s="36">
        <v>0</v>
      </c>
      <c r="G358" s="36">
        <v>924</v>
      </c>
      <c r="H358" s="36">
        <v>5340.4726250000003</v>
      </c>
    </row>
    <row r="359" spans="1:8" x14ac:dyDescent="0.2">
      <c r="A359" s="387" t="s">
        <v>618</v>
      </c>
      <c r="B359" s="385">
        <v>42801</v>
      </c>
      <c r="C359" s="386" t="s">
        <v>23</v>
      </c>
      <c r="D359" s="44" t="s">
        <v>733</v>
      </c>
      <c r="E359" s="44"/>
      <c r="F359" s="36">
        <v>0</v>
      </c>
      <c r="G359" s="36">
        <v>119</v>
      </c>
      <c r="H359" s="36">
        <v>5459.4726250000003</v>
      </c>
    </row>
    <row r="360" spans="1:8" x14ac:dyDescent="0.2">
      <c r="A360" s="387" t="s">
        <v>618</v>
      </c>
      <c r="B360" s="385">
        <v>42815</v>
      </c>
      <c r="C360" s="386" t="s">
        <v>23</v>
      </c>
      <c r="D360" s="44" t="s">
        <v>734</v>
      </c>
      <c r="E360" s="44"/>
      <c r="F360" s="36">
        <v>0</v>
      </c>
      <c r="G360" s="36">
        <v>26.95</v>
      </c>
      <c r="H360" s="36">
        <v>18612.152624999999</v>
      </c>
    </row>
    <row r="361" spans="1:8" x14ac:dyDescent="0.2">
      <c r="A361" s="387" t="s">
        <v>618</v>
      </c>
      <c r="B361" s="13">
        <v>42374</v>
      </c>
      <c r="C361" s="14" t="s">
        <v>128</v>
      </c>
      <c r="D361" s="12" t="s">
        <v>129</v>
      </c>
      <c r="E361" s="12"/>
      <c r="F361" s="383">
        <v>0</v>
      </c>
      <c r="G361" s="383">
        <v>983.8</v>
      </c>
      <c r="H361" s="4">
        <v>-7670.7</v>
      </c>
    </row>
    <row r="362" spans="1:8" x14ac:dyDescent="0.2">
      <c r="A362" s="387" t="s">
        <v>618</v>
      </c>
      <c r="B362" s="390">
        <v>42444</v>
      </c>
      <c r="C362" s="27" t="s">
        <v>128</v>
      </c>
      <c r="D362" s="30" t="s">
        <v>1059</v>
      </c>
      <c r="E362" s="392"/>
      <c r="F362" s="383">
        <v>0</v>
      </c>
      <c r="G362" s="383">
        <v>909.5</v>
      </c>
      <c r="H362" s="4">
        <v>8488.11</v>
      </c>
    </row>
    <row r="363" spans="1:8" x14ac:dyDescent="0.2">
      <c r="A363" s="387" t="s">
        <v>618</v>
      </c>
      <c r="B363" s="388">
        <v>42513</v>
      </c>
      <c r="C363" s="27" t="s">
        <v>128</v>
      </c>
      <c r="D363" s="15" t="s">
        <v>876</v>
      </c>
      <c r="E363" s="44"/>
      <c r="F363" s="36">
        <v>0</v>
      </c>
      <c r="G363" s="383">
        <v>1381.45</v>
      </c>
      <c r="H363" s="4">
        <v>428.61999999999802</v>
      </c>
    </row>
    <row r="364" spans="1:8" x14ac:dyDescent="0.2">
      <c r="A364" s="387" t="s">
        <v>618</v>
      </c>
      <c r="B364" s="388">
        <v>42513</v>
      </c>
      <c r="C364" s="27" t="s">
        <v>128</v>
      </c>
      <c r="D364" s="15" t="s">
        <v>880</v>
      </c>
      <c r="E364" s="44"/>
      <c r="F364" s="36">
        <v>0</v>
      </c>
      <c r="G364" s="383">
        <v>738.75</v>
      </c>
      <c r="H364" s="4">
        <v>1167.3699999999999</v>
      </c>
    </row>
    <row r="365" spans="1:8" x14ac:dyDescent="0.2">
      <c r="A365" s="387" t="s">
        <v>618</v>
      </c>
      <c r="B365" s="388">
        <v>42513</v>
      </c>
      <c r="C365" s="27" t="s">
        <v>128</v>
      </c>
      <c r="D365" s="15" t="s">
        <v>1060</v>
      </c>
      <c r="E365" s="44"/>
      <c r="F365" s="36">
        <v>0</v>
      </c>
      <c r="G365" s="383">
        <v>105</v>
      </c>
      <c r="H365" s="4">
        <v>1272.3699999999999</v>
      </c>
    </row>
    <row r="366" spans="1:8" x14ac:dyDescent="0.2">
      <c r="A366" s="387" t="s">
        <v>618</v>
      </c>
      <c r="B366" s="13">
        <v>42619</v>
      </c>
      <c r="C366" s="318" t="s">
        <v>128</v>
      </c>
      <c r="D366" s="316" t="s">
        <v>1061</v>
      </c>
      <c r="E366" s="4"/>
      <c r="F366" s="36">
        <v>0</v>
      </c>
      <c r="G366" s="36">
        <v>42</v>
      </c>
      <c r="H366" s="36">
        <v>-11468.17</v>
      </c>
    </row>
    <row r="367" spans="1:8" x14ac:dyDescent="0.2">
      <c r="A367" s="387" t="s">
        <v>618</v>
      </c>
      <c r="B367" s="47">
        <v>42645</v>
      </c>
      <c r="C367" s="27" t="s">
        <v>128</v>
      </c>
      <c r="D367" s="15" t="s">
        <v>129</v>
      </c>
      <c r="E367" s="383"/>
      <c r="F367" s="36">
        <v>0</v>
      </c>
      <c r="G367" s="36">
        <v>292.60000000000002</v>
      </c>
      <c r="H367" s="36">
        <v>-16508.330000000002</v>
      </c>
    </row>
    <row r="368" spans="1:8" x14ac:dyDescent="0.2">
      <c r="A368" s="387" t="s">
        <v>618</v>
      </c>
      <c r="B368" s="47">
        <v>42675</v>
      </c>
      <c r="C368" s="27" t="s">
        <v>128</v>
      </c>
      <c r="D368" s="15" t="s">
        <v>129</v>
      </c>
      <c r="E368" s="383"/>
      <c r="F368" s="36">
        <v>0</v>
      </c>
      <c r="G368" s="36">
        <v>856.43</v>
      </c>
      <c r="H368" s="36">
        <v>-23697.79</v>
      </c>
    </row>
    <row r="369" spans="1:8" x14ac:dyDescent="0.2">
      <c r="A369" s="387" t="s">
        <v>618</v>
      </c>
      <c r="B369" s="47">
        <v>42724</v>
      </c>
      <c r="C369" s="27" t="s">
        <v>128</v>
      </c>
      <c r="D369" s="15" t="s">
        <v>129</v>
      </c>
      <c r="E369" s="383"/>
      <c r="F369" s="36">
        <v>0</v>
      </c>
      <c r="G369" s="36">
        <v>794.21</v>
      </c>
      <c r="H369" s="36">
        <v>-8561.15</v>
      </c>
    </row>
    <row r="370" spans="1:8" x14ac:dyDescent="0.2">
      <c r="A370" s="387" t="s">
        <v>618</v>
      </c>
      <c r="B370" s="47">
        <v>42752</v>
      </c>
      <c r="C370" s="27" t="s">
        <v>128</v>
      </c>
      <c r="D370" s="15" t="s">
        <v>129</v>
      </c>
      <c r="E370" s="383"/>
      <c r="F370" s="36">
        <v>0</v>
      </c>
      <c r="G370" s="36">
        <v>884.25</v>
      </c>
      <c r="H370" s="36">
        <v>14168.04</v>
      </c>
    </row>
    <row r="371" spans="1:8" x14ac:dyDescent="0.2">
      <c r="A371" s="387" t="s">
        <v>618</v>
      </c>
      <c r="B371" s="385">
        <v>42801</v>
      </c>
      <c r="C371" s="386" t="s">
        <v>128</v>
      </c>
      <c r="D371" s="44" t="s">
        <v>738</v>
      </c>
      <c r="E371" s="44"/>
      <c r="F371" s="36">
        <v>0</v>
      </c>
      <c r="G371" s="36">
        <v>63.21</v>
      </c>
      <c r="H371" s="36">
        <v>3343.0726249999998</v>
      </c>
    </row>
    <row r="372" spans="1:8" x14ac:dyDescent="0.2">
      <c r="A372" s="387" t="s">
        <v>618</v>
      </c>
      <c r="B372" s="385">
        <v>42801</v>
      </c>
      <c r="C372" s="386" t="s">
        <v>128</v>
      </c>
      <c r="D372" s="44" t="s">
        <v>129</v>
      </c>
      <c r="E372" s="44"/>
      <c r="F372" s="36">
        <v>0</v>
      </c>
      <c r="G372" s="36">
        <v>1034.5</v>
      </c>
      <c r="H372" s="36">
        <v>4377.5726249999998</v>
      </c>
    </row>
    <row r="373" spans="1:8" x14ac:dyDescent="0.2">
      <c r="A373" s="387" t="s">
        <v>618</v>
      </c>
      <c r="B373" s="390">
        <v>42430</v>
      </c>
      <c r="C373" s="27" t="s">
        <v>141</v>
      </c>
      <c r="D373" s="11" t="s">
        <v>1062</v>
      </c>
      <c r="E373" s="44"/>
      <c r="F373" s="383">
        <v>0</v>
      </c>
      <c r="G373" s="383">
        <v>2188</v>
      </c>
      <c r="H373" s="4">
        <v>6888.11</v>
      </c>
    </row>
    <row r="374" spans="1:8" x14ac:dyDescent="0.2">
      <c r="A374" s="387" t="s">
        <v>618</v>
      </c>
      <c r="B374" s="385">
        <v>42801</v>
      </c>
      <c r="C374" s="386" t="s">
        <v>141</v>
      </c>
      <c r="D374" s="44" t="s">
        <v>694</v>
      </c>
      <c r="E374" s="44"/>
      <c r="F374" s="36">
        <v>0</v>
      </c>
      <c r="G374" s="36">
        <v>391.92</v>
      </c>
      <c r="H374" s="36">
        <v>17798.032625</v>
      </c>
    </row>
    <row r="375" spans="1:8" x14ac:dyDescent="0.2">
      <c r="A375" s="387" t="s">
        <v>618</v>
      </c>
      <c r="B375" s="13">
        <v>42374</v>
      </c>
      <c r="C375" s="14" t="s">
        <v>142</v>
      </c>
      <c r="D375" s="12" t="s">
        <v>908</v>
      </c>
      <c r="E375" s="12"/>
      <c r="F375" s="383">
        <v>0</v>
      </c>
      <c r="G375" s="383">
        <v>806.45</v>
      </c>
      <c r="H375" s="4">
        <v>-5807.08</v>
      </c>
    </row>
    <row r="376" spans="1:8" x14ac:dyDescent="0.2">
      <c r="A376" s="387" t="s">
        <v>618</v>
      </c>
      <c r="B376" s="13">
        <v>42689</v>
      </c>
      <c r="C376" s="318" t="s">
        <v>142</v>
      </c>
      <c r="D376" s="12" t="s">
        <v>742</v>
      </c>
      <c r="E376" s="4"/>
      <c r="F376" s="36">
        <v>0</v>
      </c>
      <c r="G376" s="36">
        <v>122</v>
      </c>
      <c r="H376" s="36">
        <v>-29636.240000000002</v>
      </c>
    </row>
    <row r="377" spans="1:8" x14ac:dyDescent="0.2">
      <c r="A377" s="387" t="s">
        <v>618</v>
      </c>
      <c r="B377" s="47">
        <v>42710</v>
      </c>
      <c r="C377" s="27" t="s">
        <v>142</v>
      </c>
      <c r="D377" s="15" t="s">
        <v>742</v>
      </c>
      <c r="E377" s="383"/>
      <c r="F377" s="36">
        <v>0</v>
      </c>
      <c r="G377" s="36">
        <v>216</v>
      </c>
      <c r="H377" s="36">
        <v>-29118.89</v>
      </c>
    </row>
    <row r="378" spans="1:8" x14ac:dyDescent="0.2">
      <c r="A378" s="387" t="s">
        <v>618</v>
      </c>
      <c r="B378" s="13">
        <v>42724</v>
      </c>
      <c r="C378" s="14" t="s">
        <v>142</v>
      </c>
      <c r="D378" s="12" t="s">
        <v>742</v>
      </c>
      <c r="E378" s="4"/>
      <c r="F378" s="36">
        <v>0</v>
      </c>
      <c r="G378" s="36">
        <v>267</v>
      </c>
      <c r="H378" s="36">
        <v>-7265.37</v>
      </c>
    </row>
    <row r="379" spans="1:8" x14ac:dyDescent="0.2">
      <c r="A379" s="387" t="s">
        <v>618</v>
      </c>
      <c r="B379" s="47">
        <v>42752</v>
      </c>
      <c r="C379" s="27" t="s">
        <v>142</v>
      </c>
      <c r="D379" s="15" t="s">
        <v>742</v>
      </c>
      <c r="E379" s="383"/>
      <c r="F379" s="36">
        <v>0</v>
      </c>
      <c r="G379" s="36">
        <v>707.5</v>
      </c>
      <c r="H379" s="36">
        <v>15947.89</v>
      </c>
    </row>
    <row r="380" spans="1:8" x14ac:dyDescent="0.2">
      <c r="A380" s="387" t="s">
        <v>618</v>
      </c>
      <c r="B380" s="390">
        <v>42430</v>
      </c>
      <c r="C380" s="27" t="s">
        <v>144</v>
      </c>
      <c r="D380" s="11" t="s">
        <v>1002</v>
      </c>
      <c r="E380" s="44"/>
      <c r="F380" s="383">
        <v>0</v>
      </c>
      <c r="G380" s="383">
        <v>5195</v>
      </c>
      <c r="H380" s="4">
        <v>-1080.8900000000001</v>
      </c>
    </row>
    <row r="381" spans="1:8" x14ac:dyDescent="0.2">
      <c r="A381" s="387" t="s">
        <v>618</v>
      </c>
      <c r="B381" s="390">
        <v>42430</v>
      </c>
      <c r="C381" s="27" t="s">
        <v>144</v>
      </c>
      <c r="D381" s="11" t="s">
        <v>1002</v>
      </c>
      <c r="E381" s="44"/>
      <c r="F381" s="383">
        <v>0</v>
      </c>
      <c r="G381" s="383">
        <v>5445</v>
      </c>
      <c r="H381" s="4">
        <v>4700.1099999999997</v>
      </c>
    </row>
    <row r="382" spans="1:8" x14ac:dyDescent="0.2">
      <c r="A382" s="387" t="s">
        <v>618</v>
      </c>
      <c r="B382" s="390">
        <v>42444</v>
      </c>
      <c r="C382" s="27" t="s">
        <v>144</v>
      </c>
      <c r="D382" s="30" t="s">
        <v>1002</v>
      </c>
      <c r="E382" s="392"/>
      <c r="F382" s="383">
        <v>0</v>
      </c>
      <c r="G382" s="383">
        <v>5730</v>
      </c>
      <c r="H382" s="4">
        <v>15187.68</v>
      </c>
    </row>
    <row r="383" spans="1:8" x14ac:dyDescent="0.2">
      <c r="A383" s="387" t="s">
        <v>618</v>
      </c>
      <c r="B383" s="388">
        <v>42468</v>
      </c>
      <c r="C383" s="27" t="s">
        <v>144</v>
      </c>
      <c r="D383" s="15" t="s">
        <v>1002</v>
      </c>
      <c r="E383" s="44"/>
      <c r="F383" s="383">
        <v>0</v>
      </c>
      <c r="G383" s="383">
        <v>7130</v>
      </c>
      <c r="H383" s="4">
        <v>18933.669999999998</v>
      </c>
    </row>
    <row r="384" spans="1:8" x14ac:dyDescent="0.2">
      <c r="A384" s="387" t="s">
        <v>618</v>
      </c>
      <c r="B384" s="388">
        <v>42468</v>
      </c>
      <c r="C384" s="27" t="s">
        <v>144</v>
      </c>
      <c r="D384" s="15" t="s">
        <v>1002</v>
      </c>
      <c r="E384" s="44"/>
      <c r="F384" s="383">
        <v>0</v>
      </c>
      <c r="G384" s="383">
        <v>7630</v>
      </c>
      <c r="H384" s="4">
        <v>26563.67</v>
      </c>
    </row>
    <row r="385" spans="1:8" x14ac:dyDescent="0.2">
      <c r="A385" s="387" t="s">
        <v>618</v>
      </c>
      <c r="B385" s="388">
        <v>42468</v>
      </c>
      <c r="C385" s="27" t="s">
        <v>144</v>
      </c>
      <c r="D385" s="15" t="s">
        <v>1002</v>
      </c>
      <c r="E385" s="44"/>
      <c r="F385" s="383">
        <v>0</v>
      </c>
      <c r="G385" s="383">
        <v>0</v>
      </c>
      <c r="H385" s="4">
        <v>31810.66</v>
      </c>
    </row>
    <row r="386" spans="1:8" x14ac:dyDescent="0.2">
      <c r="A386" s="387" t="s">
        <v>618</v>
      </c>
      <c r="B386" s="388">
        <v>42468</v>
      </c>
      <c r="C386" s="27" t="s">
        <v>144</v>
      </c>
      <c r="D386" s="15" t="s">
        <v>1002</v>
      </c>
      <c r="E386" s="44"/>
      <c r="F386" s="383">
        <v>0</v>
      </c>
      <c r="G386" s="383">
        <v>280</v>
      </c>
      <c r="H386" s="4">
        <v>32090.66</v>
      </c>
    </row>
    <row r="387" spans="1:8" x14ac:dyDescent="0.2">
      <c r="A387" s="387" t="s">
        <v>618</v>
      </c>
      <c r="B387" s="388">
        <v>42468</v>
      </c>
      <c r="C387" s="27" t="s">
        <v>144</v>
      </c>
      <c r="D387" s="15" t="s">
        <v>1002</v>
      </c>
      <c r="E387" s="44"/>
      <c r="F387" s="383">
        <v>0</v>
      </c>
      <c r="G387" s="383">
        <v>6145</v>
      </c>
      <c r="H387" s="4">
        <v>38235.660000000003</v>
      </c>
    </row>
    <row r="388" spans="1:8" x14ac:dyDescent="0.2">
      <c r="A388" s="387" t="s">
        <v>618</v>
      </c>
      <c r="B388" s="388">
        <v>42468</v>
      </c>
      <c r="C388" s="27" t="s">
        <v>144</v>
      </c>
      <c r="D388" s="15" t="s">
        <v>1002</v>
      </c>
      <c r="E388" s="44"/>
      <c r="F388" s="383">
        <v>0</v>
      </c>
      <c r="G388" s="383">
        <v>515</v>
      </c>
      <c r="H388" s="4">
        <v>38750.660000000003</v>
      </c>
    </row>
    <row r="389" spans="1:8" x14ac:dyDescent="0.2">
      <c r="A389" s="387" t="s">
        <v>618</v>
      </c>
      <c r="B389" s="385">
        <v>42801</v>
      </c>
      <c r="C389" s="386" t="s">
        <v>144</v>
      </c>
      <c r="D389" s="44" t="s">
        <v>743</v>
      </c>
      <c r="E389" s="44"/>
      <c r="F389" s="36">
        <v>0</v>
      </c>
      <c r="G389" s="36">
        <v>8450</v>
      </c>
      <c r="H389" s="36">
        <v>17406.112625000002</v>
      </c>
    </row>
    <row r="390" spans="1:8" x14ac:dyDescent="0.2">
      <c r="A390" s="387" t="s">
        <v>618</v>
      </c>
      <c r="B390" s="385">
        <v>42815</v>
      </c>
      <c r="C390" s="386" t="s">
        <v>144</v>
      </c>
      <c r="D390" s="44" t="s">
        <v>743</v>
      </c>
      <c r="E390" s="44"/>
      <c r="F390" s="36">
        <v>0</v>
      </c>
      <c r="G390" s="36">
        <v>6300</v>
      </c>
      <c r="H390" s="36">
        <v>24912.152624999999</v>
      </c>
    </row>
    <row r="391" spans="1:8" x14ac:dyDescent="0.2">
      <c r="A391" s="387" t="s">
        <v>618</v>
      </c>
      <c r="B391" s="388">
        <v>42513</v>
      </c>
      <c r="C391" s="27" t="s">
        <v>146</v>
      </c>
      <c r="D391" s="15" t="s">
        <v>743</v>
      </c>
      <c r="E391" s="44"/>
      <c r="F391" s="36">
        <v>0</v>
      </c>
      <c r="G391" s="383">
        <v>22500</v>
      </c>
      <c r="H391" s="4">
        <v>-1226.83</v>
      </c>
    </row>
    <row r="392" spans="1:8" x14ac:dyDescent="0.2">
      <c r="A392" s="387" t="s">
        <v>618</v>
      </c>
      <c r="B392" s="390">
        <v>42430</v>
      </c>
      <c r="C392" s="27" t="s">
        <v>147</v>
      </c>
      <c r="D392" s="11" t="s">
        <v>1063</v>
      </c>
      <c r="E392" s="44"/>
      <c r="F392" s="383">
        <v>0</v>
      </c>
      <c r="G392" s="383">
        <v>1507</v>
      </c>
      <c r="H392" s="4">
        <v>-6288.67</v>
      </c>
    </row>
    <row r="393" spans="1:8" x14ac:dyDescent="0.2">
      <c r="A393" s="387" t="s">
        <v>618</v>
      </c>
      <c r="B393" s="47">
        <v>42645</v>
      </c>
      <c r="C393" s="27" t="s">
        <v>147</v>
      </c>
      <c r="D393" s="15" t="s">
        <v>744</v>
      </c>
      <c r="E393" s="383"/>
      <c r="F393" s="36">
        <v>0</v>
      </c>
      <c r="G393" s="36">
        <v>250</v>
      </c>
      <c r="H393" s="36">
        <v>-15400.38</v>
      </c>
    </row>
    <row r="394" spans="1:8" x14ac:dyDescent="0.2">
      <c r="A394" s="387" t="s">
        <v>618</v>
      </c>
      <c r="B394" s="47">
        <v>42661</v>
      </c>
      <c r="C394" s="27" t="s">
        <v>147</v>
      </c>
      <c r="D394" s="15" t="s">
        <v>744</v>
      </c>
      <c r="E394" s="383"/>
      <c r="F394" s="36">
        <v>0</v>
      </c>
      <c r="G394" s="36">
        <v>580</v>
      </c>
      <c r="H394" s="36">
        <v>-21065.1</v>
      </c>
    </row>
    <row r="395" spans="1:8" x14ac:dyDescent="0.2">
      <c r="A395" s="387" t="s">
        <v>618</v>
      </c>
      <c r="B395" s="13">
        <v>42675</v>
      </c>
      <c r="C395" s="14" t="s">
        <v>147</v>
      </c>
      <c r="D395" s="12" t="s">
        <v>1064</v>
      </c>
      <c r="E395" s="4"/>
      <c r="F395" s="36">
        <v>0</v>
      </c>
      <c r="G395" s="36">
        <v>2727.5</v>
      </c>
      <c r="H395" s="36">
        <v>-19936.29</v>
      </c>
    </row>
    <row r="396" spans="1:8" x14ac:dyDescent="0.2">
      <c r="A396" s="387" t="s">
        <v>618</v>
      </c>
      <c r="B396" s="385">
        <v>42801</v>
      </c>
      <c r="C396" s="386" t="s">
        <v>147</v>
      </c>
      <c r="D396" s="44" t="s">
        <v>744</v>
      </c>
      <c r="E396" s="44"/>
      <c r="F396" s="36">
        <v>0</v>
      </c>
      <c r="G396" s="36">
        <v>3496.64</v>
      </c>
      <c r="H396" s="36">
        <v>8956.1126249999998</v>
      </c>
    </row>
    <row r="397" spans="1:8" x14ac:dyDescent="0.2">
      <c r="A397" s="387" t="s">
        <v>618</v>
      </c>
      <c r="B397" s="15" t="s">
        <v>1065</v>
      </c>
      <c r="C397" s="27" t="s">
        <v>147</v>
      </c>
      <c r="D397" s="15" t="s">
        <v>1066</v>
      </c>
      <c r="E397" s="44"/>
      <c r="F397" s="383">
        <v>0</v>
      </c>
      <c r="G397" s="383">
        <v>1922.26</v>
      </c>
      <c r="H397" s="4">
        <v>-12079.49</v>
      </c>
    </row>
    <row r="398" spans="1:8" x14ac:dyDescent="0.2">
      <c r="A398" s="387" t="s">
        <v>618</v>
      </c>
      <c r="B398" s="15" t="s">
        <v>1067</v>
      </c>
      <c r="C398" s="27" t="s">
        <v>147</v>
      </c>
      <c r="D398" s="15" t="s">
        <v>1068</v>
      </c>
      <c r="E398" s="44"/>
      <c r="F398" s="383">
        <v>0</v>
      </c>
      <c r="G398" s="383">
        <v>1441.73</v>
      </c>
      <c r="H398" s="4">
        <v>-14001.75</v>
      </c>
    </row>
    <row r="399" spans="1:8" x14ac:dyDescent="0.2">
      <c r="A399" s="387" t="s">
        <v>618</v>
      </c>
      <c r="B399" s="15" t="s">
        <v>1069</v>
      </c>
      <c r="C399" s="27" t="s">
        <v>147</v>
      </c>
      <c r="D399" s="15" t="s">
        <v>895</v>
      </c>
      <c r="E399" s="44"/>
      <c r="F399" s="383">
        <v>0</v>
      </c>
      <c r="G399" s="383">
        <v>2798.47</v>
      </c>
      <c r="H399" s="4">
        <v>-9281.02</v>
      </c>
    </row>
    <row r="400" spans="1:8" x14ac:dyDescent="0.2">
      <c r="A400" s="387" t="s">
        <v>618</v>
      </c>
      <c r="B400" s="390">
        <v>42444</v>
      </c>
      <c r="C400" s="27" t="s">
        <v>151</v>
      </c>
      <c r="D400" s="393" t="s">
        <v>1005</v>
      </c>
      <c r="E400" s="392"/>
      <c r="F400" s="383">
        <v>0</v>
      </c>
      <c r="G400" s="383">
        <v>600</v>
      </c>
      <c r="H400" s="4">
        <v>15787.68</v>
      </c>
    </row>
    <row r="401" spans="1:8" x14ac:dyDescent="0.2">
      <c r="A401" s="387" t="s">
        <v>618</v>
      </c>
      <c r="B401" s="47">
        <v>42645</v>
      </c>
      <c r="C401" s="27" t="s">
        <v>151</v>
      </c>
      <c r="D401" s="12" t="s">
        <v>1070</v>
      </c>
      <c r="E401" s="4"/>
      <c r="F401" s="36">
        <v>0</v>
      </c>
      <c r="G401" s="36">
        <v>1500</v>
      </c>
      <c r="H401" s="36">
        <v>-13900.38</v>
      </c>
    </row>
    <row r="402" spans="1:8" x14ac:dyDescent="0.2">
      <c r="A402" s="387" t="s">
        <v>618</v>
      </c>
      <c r="B402" s="13">
        <v>42374</v>
      </c>
      <c r="C402" s="14" t="s">
        <v>26</v>
      </c>
      <c r="D402" s="12" t="s">
        <v>1071</v>
      </c>
      <c r="E402" s="12"/>
      <c r="F402" s="383">
        <v>0</v>
      </c>
      <c r="G402" s="383">
        <v>15</v>
      </c>
      <c r="H402" s="4">
        <v>-8676.5</v>
      </c>
    </row>
    <row r="403" spans="1:8" x14ac:dyDescent="0.2">
      <c r="A403" s="387" t="s">
        <v>618</v>
      </c>
      <c r="B403" s="390">
        <v>42402</v>
      </c>
      <c r="C403" s="27" t="s">
        <v>26</v>
      </c>
      <c r="D403" s="11" t="s">
        <v>1072</v>
      </c>
      <c r="E403" s="44"/>
      <c r="F403" s="383">
        <v>0</v>
      </c>
      <c r="G403" s="383">
        <v>11</v>
      </c>
      <c r="H403" s="4">
        <v>-3137.18</v>
      </c>
    </row>
    <row r="404" spans="1:8" x14ac:dyDescent="0.2">
      <c r="A404" s="387" t="s">
        <v>618</v>
      </c>
      <c r="B404" s="388">
        <v>42416</v>
      </c>
      <c r="C404" s="27" t="s">
        <v>26</v>
      </c>
      <c r="D404" s="391" t="s">
        <v>1072</v>
      </c>
      <c r="E404" s="392"/>
      <c r="F404" s="383">
        <v>0</v>
      </c>
      <c r="G404" s="383">
        <v>10</v>
      </c>
      <c r="H404" s="4">
        <v>-2021.67</v>
      </c>
    </row>
    <row r="405" spans="1:8" x14ac:dyDescent="0.2">
      <c r="A405" s="387" t="s">
        <v>618</v>
      </c>
      <c r="B405" s="390">
        <v>42430</v>
      </c>
      <c r="C405" s="27" t="s">
        <v>26</v>
      </c>
      <c r="D405" s="11" t="s">
        <v>1072</v>
      </c>
      <c r="E405" s="44"/>
      <c r="F405" s="383">
        <v>0</v>
      </c>
      <c r="G405" s="383">
        <v>36</v>
      </c>
      <c r="H405" s="4">
        <v>-8542.02</v>
      </c>
    </row>
    <row r="406" spans="1:8" x14ac:dyDescent="0.2">
      <c r="A406" s="387" t="s">
        <v>618</v>
      </c>
      <c r="B406" s="390">
        <v>42444</v>
      </c>
      <c r="C406" s="27" t="s">
        <v>26</v>
      </c>
      <c r="D406" s="30" t="s">
        <v>1072</v>
      </c>
      <c r="E406" s="392"/>
      <c r="F406" s="383">
        <v>0</v>
      </c>
      <c r="G406" s="383">
        <v>44</v>
      </c>
      <c r="H406" s="4">
        <v>7504.61</v>
      </c>
    </row>
    <row r="407" spans="1:8" x14ac:dyDescent="0.2">
      <c r="A407" s="387" t="s">
        <v>618</v>
      </c>
      <c r="B407" s="390">
        <v>42444</v>
      </c>
      <c r="C407" s="27" t="s">
        <v>26</v>
      </c>
      <c r="D407" s="30" t="s">
        <v>911</v>
      </c>
      <c r="E407" s="392"/>
      <c r="F407" s="383">
        <v>0</v>
      </c>
      <c r="G407" s="383">
        <v>10</v>
      </c>
      <c r="H407" s="4">
        <v>9457.68</v>
      </c>
    </row>
    <row r="408" spans="1:8" x14ac:dyDescent="0.2">
      <c r="A408" s="387" t="s">
        <v>618</v>
      </c>
      <c r="B408" s="388">
        <v>42513</v>
      </c>
      <c r="C408" s="27" t="s">
        <v>26</v>
      </c>
      <c r="D408" s="15" t="s">
        <v>750</v>
      </c>
      <c r="E408" s="44"/>
      <c r="F408" s="36">
        <v>0</v>
      </c>
      <c r="G408" s="383">
        <v>81</v>
      </c>
      <c r="H408" s="4">
        <v>-1012.83</v>
      </c>
    </row>
    <row r="409" spans="1:8" x14ac:dyDescent="0.2">
      <c r="A409" s="387" t="s">
        <v>618</v>
      </c>
      <c r="B409" s="47">
        <v>42598</v>
      </c>
      <c r="C409" s="27" t="s">
        <v>26</v>
      </c>
      <c r="D409" s="15" t="s">
        <v>750</v>
      </c>
      <c r="E409" s="383"/>
      <c r="F409" s="36">
        <v>0</v>
      </c>
      <c r="G409" s="36">
        <v>16</v>
      </c>
      <c r="H409" s="36">
        <v>-4735.74</v>
      </c>
    </row>
    <row r="410" spans="1:8" x14ac:dyDescent="0.2">
      <c r="A410" s="387" t="s">
        <v>618</v>
      </c>
      <c r="B410" s="13">
        <v>42619</v>
      </c>
      <c r="C410" s="318" t="s">
        <v>26</v>
      </c>
      <c r="D410" s="316" t="s">
        <v>750</v>
      </c>
      <c r="E410" s="4"/>
      <c r="F410" s="36">
        <v>0</v>
      </c>
      <c r="G410" s="36">
        <v>22</v>
      </c>
      <c r="H410" s="36">
        <v>-11446.17</v>
      </c>
    </row>
    <row r="411" spans="1:8" x14ac:dyDescent="0.2">
      <c r="A411" s="387" t="s">
        <v>618</v>
      </c>
      <c r="B411" s="13">
        <v>42645</v>
      </c>
      <c r="C411" s="14" t="s">
        <v>26</v>
      </c>
      <c r="D411" s="12" t="s">
        <v>750</v>
      </c>
      <c r="E411" s="4"/>
      <c r="F411" s="36">
        <v>0</v>
      </c>
      <c r="G411" s="36">
        <v>110</v>
      </c>
      <c r="H411" s="36">
        <v>-17010.93</v>
      </c>
    </row>
    <row r="412" spans="1:8" x14ac:dyDescent="0.2">
      <c r="A412" s="387" t="s">
        <v>618</v>
      </c>
      <c r="B412" s="13">
        <v>42689</v>
      </c>
      <c r="C412" s="318" t="s">
        <v>26</v>
      </c>
      <c r="D412" s="316" t="s">
        <v>750</v>
      </c>
      <c r="E412" s="4"/>
      <c r="F412" s="36">
        <v>0</v>
      </c>
      <c r="G412" s="36">
        <v>10</v>
      </c>
      <c r="H412" s="36">
        <v>-29872.22</v>
      </c>
    </row>
    <row r="413" spans="1:8" x14ac:dyDescent="0.2">
      <c r="A413" s="387" t="s">
        <v>618</v>
      </c>
      <c r="B413" s="13">
        <v>42689</v>
      </c>
      <c r="C413" s="318" t="s">
        <v>26</v>
      </c>
      <c r="D413" s="12" t="s">
        <v>750</v>
      </c>
      <c r="E413" s="4"/>
      <c r="F413" s="36">
        <v>0</v>
      </c>
      <c r="G413" s="36">
        <v>10</v>
      </c>
      <c r="H413" s="36">
        <v>-29767.22</v>
      </c>
    </row>
    <row r="414" spans="1:8" x14ac:dyDescent="0.2">
      <c r="A414" s="387" t="s">
        <v>618</v>
      </c>
      <c r="B414" s="47">
        <v>42724</v>
      </c>
      <c r="C414" s="27" t="s">
        <v>26</v>
      </c>
      <c r="D414" s="15" t="s">
        <v>750</v>
      </c>
      <c r="E414" s="383"/>
      <c r="F414" s="36">
        <v>0</v>
      </c>
      <c r="G414" s="36">
        <v>22</v>
      </c>
      <c r="H414" s="36">
        <v>-9428.36</v>
      </c>
    </row>
    <row r="415" spans="1:8" x14ac:dyDescent="0.2">
      <c r="A415" s="387" t="s">
        <v>618</v>
      </c>
      <c r="B415" s="47">
        <v>42738</v>
      </c>
      <c r="C415" s="27" t="s">
        <v>26</v>
      </c>
      <c r="D415" s="15" t="s">
        <v>750</v>
      </c>
      <c r="E415" s="383"/>
      <c r="F415" s="36">
        <v>0</v>
      </c>
      <c r="G415" s="36">
        <v>65</v>
      </c>
      <c r="H415" s="36">
        <v>1307.3399999999999</v>
      </c>
    </row>
    <row r="416" spans="1:8" x14ac:dyDescent="0.2">
      <c r="A416" s="387" t="s">
        <v>618</v>
      </c>
      <c r="B416" s="47">
        <v>42752</v>
      </c>
      <c r="C416" s="27" t="s">
        <v>26</v>
      </c>
      <c r="D416" s="44" t="s">
        <v>750</v>
      </c>
      <c r="E416" s="383"/>
      <c r="F416" s="36">
        <v>0</v>
      </c>
      <c r="G416" s="36">
        <v>12</v>
      </c>
      <c r="H416" s="36">
        <v>13200.79</v>
      </c>
    </row>
    <row r="417" spans="1:8" x14ac:dyDescent="0.2">
      <c r="A417" s="387" t="s">
        <v>618</v>
      </c>
      <c r="B417" s="47">
        <v>42752</v>
      </c>
      <c r="C417" s="27" t="s">
        <v>26</v>
      </c>
      <c r="D417" s="15" t="s">
        <v>1073</v>
      </c>
      <c r="E417" s="383"/>
      <c r="F417" s="36">
        <v>0</v>
      </c>
      <c r="G417" s="36">
        <v>52.35</v>
      </c>
      <c r="H417" s="36">
        <v>15106.39</v>
      </c>
    </row>
    <row r="418" spans="1:8" x14ac:dyDescent="0.2">
      <c r="A418" s="387" t="s">
        <v>618</v>
      </c>
      <c r="B418" s="385">
        <v>42773</v>
      </c>
      <c r="C418" s="386" t="s">
        <v>26</v>
      </c>
      <c r="D418" s="44" t="s">
        <v>1073</v>
      </c>
      <c r="E418" s="44"/>
      <c r="F418" s="36">
        <v>0</v>
      </c>
      <c r="G418" s="36">
        <v>35.1</v>
      </c>
      <c r="H418" s="36">
        <v>12070.55</v>
      </c>
    </row>
    <row r="419" spans="1:8" x14ac:dyDescent="0.2">
      <c r="A419" s="387" t="s">
        <v>618</v>
      </c>
      <c r="B419" s="385">
        <v>42787</v>
      </c>
      <c r="C419" s="386" t="s">
        <v>26</v>
      </c>
      <c r="D419" s="44" t="s">
        <v>27</v>
      </c>
      <c r="E419" s="44"/>
      <c r="F419" s="36">
        <v>0</v>
      </c>
      <c r="G419" s="36">
        <v>40</v>
      </c>
      <c r="H419" s="36">
        <v>13061.17</v>
      </c>
    </row>
    <row r="420" spans="1:8" x14ac:dyDescent="0.2">
      <c r="A420" s="387" t="s">
        <v>618</v>
      </c>
      <c r="B420" s="385">
        <v>42801</v>
      </c>
      <c r="C420" s="386" t="s">
        <v>26</v>
      </c>
      <c r="D420" s="44" t="s">
        <v>750</v>
      </c>
      <c r="E420" s="44"/>
      <c r="F420" s="36">
        <v>0</v>
      </c>
      <c r="G420" s="36">
        <v>37.5</v>
      </c>
      <c r="H420" s="36">
        <v>3228.8626250000002</v>
      </c>
    </row>
    <row r="421" spans="1:8" x14ac:dyDescent="0.2">
      <c r="A421" s="387" t="s">
        <v>618</v>
      </c>
      <c r="B421" s="385">
        <v>42815</v>
      </c>
      <c r="C421" s="386" t="s">
        <v>26</v>
      </c>
      <c r="D421" s="44" t="s">
        <v>750</v>
      </c>
      <c r="E421" s="44"/>
      <c r="F421" s="36">
        <v>0</v>
      </c>
      <c r="G421" s="36">
        <v>10</v>
      </c>
      <c r="H421" s="36">
        <v>18502.152624999999</v>
      </c>
    </row>
    <row r="422" spans="1:8" x14ac:dyDescent="0.2">
      <c r="A422" s="387" t="s">
        <v>618</v>
      </c>
      <c r="B422" s="13">
        <v>42374</v>
      </c>
      <c r="C422" s="14" t="s">
        <v>28</v>
      </c>
      <c r="D422" s="12" t="s">
        <v>1074</v>
      </c>
      <c r="E422" s="12"/>
      <c r="F422" s="383">
        <v>0</v>
      </c>
      <c r="G422" s="383">
        <v>171</v>
      </c>
      <c r="H422" s="4">
        <v>-5553.93</v>
      </c>
    </row>
    <row r="423" spans="1:8" x14ac:dyDescent="0.2">
      <c r="A423" s="387" t="s">
        <v>618</v>
      </c>
      <c r="B423" s="13">
        <v>42374</v>
      </c>
      <c r="C423" s="14" t="s">
        <v>28</v>
      </c>
      <c r="D423" s="316" t="s">
        <v>1075</v>
      </c>
      <c r="E423" s="12"/>
      <c r="F423" s="383">
        <v>0</v>
      </c>
      <c r="G423" s="383">
        <v>51.1</v>
      </c>
      <c r="H423" s="4">
        <v>-5502.83</v>
      </c>
    </row>
    <row r="424" spans="1:8" x14ac:dyDescent="0.2">
      <c r="A424" s="387" t="s">
        <v>618</v>
      </c>
      <c r="B424" s="390">
        <v>42402</v>
      </c>
      <c r="C424" s="27" t="s">
        <v>28</v>
      </c>
      <c r="D424" s="11" t="s">
        <v>29</v>
      </c>
      <c r="E424" s="44"/>
      <c r="F424" s="383">
        <v>0</v>
      </c>
      <c r="G424" s="383">
        <v>40.15</v>
      </c>
      <c r="H424" s="4">
        <v>-2997.27</v>
      </c>
    </row>
    <row r="425" spans="1:8" x14ac:dyDescent="0.2">
      <c r="A425" s="387" t="s">
        <v>618</v>
      </c>
      <c r="B425" s="390">
        <v>42402</v>
      </c>
      <c r="C425" s="27" t="s">
        <v>28</v>
      </c>
      <c r="D425" s="11" t="s">
        <v>29</v>
      </c>
      <c r="E425" s="44"/>
      <c r="F425" s="383">
        <v>0</v>
      </c>
      <c r="G425" s="383">
        <v>14.6</v>
      </c>
      <c r="H425" s="4">
        <v>-2982.67</v>
      </c>
    </row>
    <row r="426" spans="1:8" x14ac:dyDescent="0.2">
      <c r="A426" s="387" t="s">
        <v>618</v>
      </c>
      <c r="B426" s="388">
        <v>42416</v>
      </c>
      <c r="C426" s="27" t="s">
        <v>28</v>
      </c>
      <c r="D426" s="391" t="s">
        <v>29</v>
      </c>
      <c r="E426" s="392"/>
      <c r="F426" s="383">
        <v>0</v>
      </c>
      <c r="G426" s="383">
        <v>41.1</v>
      </c>
      <c r="H426" s="4">
        <v>-1884.74</v>
      </c>
    </row>
    <row r="427" spans="1:8" x14ac:dyDescent="0.2">
      <c r="A427" s="387" t="s">
        <v>618</v>
      </c>
      <c r="B427" s="388">
        <v>42416</v>
      </c>
      <c r="C427" s="27" t="s">
        <v>28</v>
      </c>
      <c r="D427" s="391" t="s">
        <v>29</v>
      </c>
      <c r="E427" s="392"/>
      <c r="F427" s="383">
        <v>0</v>
      </c>
      <c r="G427" s="383">
        <v>3.65</v>
      </c>
      <c r="H427" s="4">
        <v>-1881.09</v>
      </c>
    </row>
    <row r="428" spans="1:8" x14ac:dyDescent="0.2">
      <c r="A428" s="387" t="s">
        <v>618</v>
      </c>
      <c r="B428" s="390">
        <v>42430</v>
      </c>
      <c r="C428" s="27" t="s">
        <v>28</v>
      </c>
      <c r="D428" s="11" t="s">
        <v>29</v>
      </c>
      <c r="E428" s="44"/>
      <c r="F428" s="383">
        <v>0</v>
      </c>
      <c r="G428" s="383">
        <v>15.55</v>
      </c>
      <c r="H428" s="4">
        <v>6996.66</v>
      </c>
    </row>
    <row r="429" spans="1:8" x14ac:dyDescent="0.2">
      <c r="A429" s="387" t="s">
        <v>618</v>
      </c>
      <c r="B429" s="390">
        <v>42430</v>
      </c>
      <c r="C429" s="27" t="s">
        <v>28</v>
      </c>
      <c r="D429" s="11" t="s">
        <v>29</v>
      </c>
      <c r="E429" s="44"/>
      <c r="F429" s="383">
        <v>0</v>
      </c>
      <c r="G429" s="383">
        <v>10.95</v>
      </c>
      <c r="H429" s="4">
        <v>7007.61</v>
      </c>
    </row>
    <row r="430" spans="1:8" x14ac:dyDescent="0.2">
      <c r="A430" s="387" t="s">
        <v>618</v>
      </c>
      <c r="B430" s="390">
        <v>42444</v>
      </c>
      <c r="C430" s="27" t="s">
        <v>28</v>
      </c>
      <c r="D430" s="393" t="s">
        <v>29</v>
      </c>
      <c r="E430" s="392"/>
      <c r="F430" s="383">
        <v>0</v>
      </c>
      <c r="G430" s="383">
        <v>40.15</v>
      </c>
      <c r="H430" s="4">
        <v>15955.33</v>
      </c>
    </row>
    <row r="431" spans="1:8" x14ac:dyDescent="0.2">
      <c r="A431" s="387" t="s">
        <v>618</v>
      </c>
      <c r="B431" s="390">
        <v>42444</v>
      </c>
      <c r="C431" s="27" t="s">
        <v>28</v>
      </c>
      <c r="D431" s="393" t="s">
        <v>29</v>
      </c>
      <c r="E431" s="392"/>
      <c r="F431" s="383">
        <v>0</v>
      </c>
      <c r="G431" s="383">
        <v>18.25</v>
      </c>
      <c r="H431" s="4">
        <v>15973.58</v>
      </c>
    </row>
    <row r="432" spans="1:8" x14ac:dyDescent="0.2">
      <c r="A432" s="387" t="s">
        <v>618</v>
      </c>
      <c r="B432" s="47">
        <v>42570</v>
      </c>
      <c r="C432" s="27" t="s">
        <v>28</v>
      </c>
      <c r="D432" s="15" t="s">
        <v>29</v>
      </c>
      <c r="E432" s="383"/>
      <c r="F432" s="36">
        <v>0</v>
      </c>
      <c r="G432" s="36">
        <v>9.3000000000000007</v>
      </c>
      <c r="H432" s="36">
        <v>179.55</v>
      </c>
    </row>
    <row r="433" spans="1:8" x14ac:dyDescent="0.2">
      <c r="A433" s="387" t="s">
        <v>618</v>
      </c>
      <c r="B433" s="13">
        <v>42598</v>
      </c>
      <c r="C433" s="27" t="s">
        <v>28</v>
      </c>
      <c r="D433" s="12" t="s">
        <v>29</v>
      </c>
      <c r="E433" s="4"/>
      <c r="F433" s="36">
        <v>0</v>
      </c>
      <c r="G433" s="36">
        <v>10.95</v>
      </c>
      <c r="H433" s="36">
        <v>-4413.79</v>
      </c>
    </row>
    <row r="434" spans="1:8" x14ac:dyDescent="0.2">
      <c r="A434" s="387" t="s">
        <v>618</v>
      </c>
      <c r="B434" s="47">
        <v>42661</v>
      </c>
      <c r="C434" s="27" t="s">
        <v>28</v>
      </c>
      <c r="D434" s="15" t="s">
        <v>29</v>
      </c>
      <c r="E434" s="383"/>
      <c r="F434" s="36">
        <v>0</v>
      </c>
      <c r="G434" s="36">
        <v>3.65</v>
      </c>
      <c r="H434" s="36">
        <v>-20694.45</v>
      </c>
    </row>
    <row r="435" spans="1:8" x14ac:dyDescent="0.2">
      <c r="A435" s="387" t="s">
        <v>618</v>
      </c>
      <c r="B435" s="47">
        <v>42710</v>
      </c>
      <c r="C435" s="27" t="s">
        <v>28</v>
      </c>
      <c r="D435" s="15" t="s">
        <v>29</v>
      </c>
      <c r="E435" s="383"/>
      <c r="F435" s="36">
        <v>0</v>
      </c>
      <c r="G435" s="36">
        <v>7.5</v>
      </c>
      <c r="H435" s="36">
        <v>-2577.1799999999998</v>
      </c>
    </row>
    <row r="436" spans="1:8" x14ac:dyDescent="0.2">
      <c r="A436" s="387" t="s">
        <v>618</v>
      </c>
      <c r="B436" s="47">
        <v>42738</v>
      </c>
      <c r="C436" s="27" t="s">
        <v>28</v>
      </c>
      <c r="D436" s="15" t="s">
        <v>29</v>
      </c>
      <c r="E436" s="383"/>
      <c r="F436" s="36">
        <v>0</v>
      </c>
      <c r="G436" s="36">
        <v>2</v>
      </c>
      <c r="H436" s="36">
        <v>11714.04</v>
      </c>
    </row>
    <row r="437" spans="1:8" x14ac:dyDescent="0.2">
      <c r="A437" s="387" t="s">
        <v>618</v>
      </c>
      <c r="B437" s="47">
        <v>42738</v>
      </c>
      <c r="C437" s="27" t="s">
        <v>28</v>
      </c>
      <c r="D437" s="15" t="s">
        <v>29</v>
      </c>
      <c r="E437" s="383"/>
      <c r="F437" s="36">
        <v>0</v>
      </c>
      <c r="G437" s="36">
        <v>54.75</v>
      </c>
      <c r="H437" s="36">
        <v>13122.44</v>
      </c>
    </row>
    <row r="438" spans="1:8" x14ac:dyDescent="0.2">
      <c r="A438" s="387" t="s">
        <v>618</v>
      </c>
      <c r="B438" s="13">
        <v>42738</v>
      </c>
      <c r="C438" s="318" t="s">
        <v>28</v>
      </c>
      <c r="D438" s="12" t="s">
        <v>29</v>
      </c>
      <c r="E438" s="4"/>
      <c r="F438" s="36">
        <v>0</v>
      </c>
      <c r="G438" s="36">
        <v>3.35</v>
      </c>
      <c r="H438" s="36">
        <v>13161.79</v>
      </c>
    </row>
    <row r="439" spans="1:8" x14ac:dyDescent="0.2">
      <c r="A439" s="387" t="s">
        <v>618</v>
      </c>
      <c r="B439" s="47">
        <v>42752</v>
      </c>
      <c r="C439" s="27" t="s">
        <v>28</v>
      </c>
      <c r="D439" s="15" t="s">
        <v>31</v>
      </c>
      <c r="E439" s="383"/>
      <c r="F439" s="36">
        <v>0</v>
      </c>
      <c r="G439" s="36">
        <v>107.85</v>
      </c>
      <c r="H439" s="36">
        <v>17199.740000000002</v>
      </c>
    </row>
    <row r="440" spans="1:8" x14ac:dyDescent="0.2">
      <c r="A440" s="387" t="s">
        <v>618</v>
      </c>
      <c r="B440" s="47">
        <v>42752</v>
      </c>
      <c r="C440" s="27" t="s">
        <v>28</v>
      </c>
      <c r="D440" s="15" t="s">
        <v>31</v>
      </c>
      <c r="E440" s="383"/>
      <c r="F440" s="36">
        <v>0</v>
      </c>
      <c r="G440" s="36">
        <v>32.85</v>
      </c>
      <c r="H440" s="36">
        <v>17598.59</v>
      </c>
    </row>
    <row r="441" spans="1:8" x14ac:dyDescent="0.2">
      <c r="A441" s="387" t="s">
        <v>618</v>
      </c>
      <c r="B441" s="47">
        <v>42752</v>
      </c>
      <c r="C441" s="27" t="s">
        <v>28</v>
      </c>
      <c r="D441" s="15" t="s">
        <v>31</v>
      </c>
      <c r="E441" s="383"/>
      <c r="F441" s="36">
        <v>0</v>
      </c>
      <c r="G441" s="36">
        <v>5.56</v>
      </c>
      <c r="H441" s="36">
        <v>17719.669999999998</v>
      </c>
    </row>
    <row r="442" spans="1:8" x14ac:dyDescent="0.2">
      <c r="A442" s="387" t="s">
        <v>618</v>
      </c>
      <c r="B442" s="385">
        <v>42773</v>
      </c>
      <c r="C442" s="386" t="s">
        <v>28</v>
      </c>
      <c r="D442" s="44" t="s">
        <v>31</v>
      </c>
      <c r="E442" s="44"/>
      <c r="F442" s="36">
        <v>0</v>
      </c>
      <c r="G442" s="36">
        <v>59.4</v>
      </c>
      <c r="H442" s="36">
        <v>12851.95</v>
      </c>
    </row>
    <row r="443" spans="1:8" x14ac:dyDescent="0.2">
      <c r="A443" s="387" t="s">
        <v>618</v>
      </c>
      <c r="B443" s="385">
        <v>42773</v>
      </c>
      <c r="C443" s="386" t="s">
        <v>28</v>
      </c>
      <c r="D443" s="44" t="s">
        <v>31</v>
      </c>
      <c r="E443" s="44"/>
      <c r="F443" s="36">
        <v>0</v>
      </c>
      <c r="G443" s="36">
        <v>3.65</v>
      </c>
      <c r="H443" s="36">
        <v>12960.5825</v>
      </c>
    </row>
    <row r="444" spans="1:8" x14ac:dyDescent="0.2">
      <c r="A444" s="387" t="s">
        <v>618</v>
      </c>
      <c r="B444" s="385">
        <v>42787</v>
      </c>
      <c r="C444" s="386" t="s">
        <v>28</v>
      </c>
      <c r="D444" s="44" t="s">
        <v>31</v>
      </c>
      <c r="E444" s="44"/>
      <c r="F444" s="36">
        <v>0</v>
      </c>
      <c r="G444" s="36">
        <v>42.15</v>
      </c>
      <c r="H444" s="36">
        <v>13815.42</v>
      </c>
    </row>
    <row r="445" spans="1:8" x14ac:dyDescent="0.2">
      <c r="A445" s="387" t="s">
        <v>618</v>
      </c>
      <c r="B445" s="385">
        <v>42787</v>
      </c>
      <c r="C445" s="386" t="s">
        <v>28</v>
      </c>
      <c r="D445" s="44" t="s">
        <v>31</v>
      </c>
      <c r="E445" s="44"/>
      <c r="F445" s="36">
        <v>0</v>
      </c>
      <c r="G445" s="36">
        <v>3.55</v>
      </c>
      <c r="H445" s="36">
        <v>14017.359624999999</v>
      </c>
    </row>
    <row r="446" spans="1:8" x14ac:dyDescent="0.2">
      <c r="A446" s="387" t="s">
        <v>618</v>
      </c>
      <c r="B446" s="385">
        <v>42801</v>
      </c>
      <c r="C446" s="386" t="s">
        <v>28</v>
      </c>
      <c r="D446" s="44" t="s">
        <v>753</v>
      </c>
      <c r="E446" s="44"/>
      <c r="F446" s="36">
        <v>0</v>
      </c>
      <c r="G446" s="36">
        <v>25.55</v>
      </c>
      <c r="H446" s="36">
        <v>18067.582624999999</v>
      </c>
    </row>
    <row r="447" spans="1:8" x14ac:dyDescent="0.2">
      <c r="A447" s="387" t="s">
        <v>618</v>
      </c>
      <c r="B447" s="385">
        <v>42801</v>
      </c>
      <c r="C447" s="386" t="s">
        <v>28</v>
      </c>
      <c r="D447" s="44" t="s">
        <v>754</v>
      </c>
      <c r="E447" s="44"/>
      <c r="F447" s="36">
        <v>0</v>
      </c>
      <c r="G447" s="36">
        <v>10.85</v>
      </c>
      <c r="H447" s="36">
        <v>18434.502625000001</v>
      </c>
    </row>
    <row r="448" spans="1:8" x14ac:dyDescent="0.2">
      <c r="A448" s="387" t="s">
        <v>618</v>
      </c>
      <c r="B448" s="385">
        <v>42801</v>
      </c>
      <c r="C448" s="386" t="s">
        <v>28</v>
      </c>
      <c r="D448" s="44" t="s">
        <v>755</v>
      </c>
      <c r="E448" s="44"/>
      <c r="F448" s="36">
        <v>0</v>
      </c>
      <c r="G448" s="36">
        <v>3.65</v>
      </c>
      <c r="H448" s="36">
        <v>18474.152624999999</v>
      </c>
    </row>
    <row r="449" spans="1:8" x14ac:dyDescent="0.2">
      <c r="A449" s="387" t="s">
        <v>618</v>
      </c>
      <c r="B449" s="385">
        <v>42815</v>
      </c>
      <c r="C449" s="386" t="s">
        <v>28</v>
      </c>
      <c r="D449" s="44" t="s">
        <v>753</v>
      </c>
      <c r="E449" s="44"/>
      <c r="F449" s="36">
        <v>0</v>
      </c>
      <c r="G449" s="36">
        <v>160.6</v>
      </c>
      <c r="H449" s="36">
        <v>26712.752625000001</v>
      </c>
    </row>
    <row r="450" spans="1:8" x14ac:dyDescent="0.2">
      <c r="A450" s="387" t="s">
        <v>618</v>
      </c>
      <c r="B450" s="385">
        <v>42815</v>
      </c>
      <c r="C450" s="386" t="s">
        <v>28</v>
      </c>
      <c r="D450" s="44" t="s">
        <v>754</v>
      </c>
      <c r="E450" s="44"/>
      <c r="F450" s="36">
        <v>0</v>
      </c>
      <c r="G450" s="36">
        <v>14.6</v>
      </c>
      <c r="H450" s="36">
        <v>27057.182625000001</v>
      </c>
    </row>
    <row r="451" spans="1:8" x14ac:dyDescent="0.2">
      <c r="A451" s="387" t="s">
        <v>618</v>
      </c>
      <c r="B451" s="390">
        <v>42430</v>
      </c>
      <c r="C451" s="27" t="s">
        <v>155</v>
      </c>
      <c r="D451" s="11" t="s">
        <v>1076</v>
      </c>
      <c r="E451" s="44"/>
      <c r="F451" s="383">
        <v>0</v>
      </c>
      <c r="G451" s="383">
        <v>336</v>
      </c>
      <c r="H451" s="4">
        <v>-744.89</v>
      </c>
    </row>
    <row r="452" spans="1:8" x14ac:dyDescent="0.2">
      <c r="A452" s="387" t="s">
        <v>618</v>
      </c>
      <c r="B452" s="47">
        <v>42661</v>
      </c>
      <c r="C452" s="27" t="s">
        <v>155</v>
      </c>
      <c r="D452" s="15" t="s">
        <v>1077</v>
      </c>
      <c r="E452" s="383"/>
      <c r="F452" s="36">
        <v>0</v>
      </c>
      <c r="G452" s="36">
        <v>272</v>
      </c>
      <c r="H452" s="36">
        <v>-20793.099999999999</v>
      </c>
    </row>
    <row r="453" spans="1:8" x14ac:dyDescent="0.2">
      <c r="A453" s="387" t="s">
        <v>618</v>
      </c>
      <c r="B453" s="13">
        <v>42738</v>
      </c>
      <c r="C453" s="14" t="s">
        <v>155</v>
      </c>
      <c r="D453" s="12" t="s">
        <v>757</v>
      </c>
      <c r="E453" s="4"/>
      <c r="F453" s="36">
        <v>0</v>
      </c>
      <c r="G453" s="36">
        <v>290</v>
      </c>
      <c r="H453" s="36">
        <v>10303.540000000001</v>
      </c>
    </row>
    <row r="454" spans="1:8" x14ac:dyDescent="0.2">
      <c r="A454" s="387" t="s">
        <v>618</v>
      </c>
      <c r="B454" s="13">
        <v>42570</v>
      </c>
      <c r="C454" s="318" t="s">
        <v>33</v>
      </c>
      <c r="D454" s="316" t="s">
        <v>1061</v>
      </c>
      <c r="E454" s="4"/>
      <c r="F454" s="36">
        <v>0</v>
      </c>
      <c r="G454" s="36">
        <v>24</v>
      </c>
      <c r="H454" s="36">
        <v>-77.75</v>
      </c>
    </row>
    <row r="455" spans="1:8" x14ac:dyDescent="0.2">
      <c r="A455" s="387" t="s">
        <v>618</v>
      </c>
      <c r="B455" s="47">
        <v>42598</v>
      </c>
      <c r="C455" s="27" t="s">
        <v>33</v>
      </c>
      <c r="D455" s="15" t="s">
        <v>1061</v>
      </c>
      <c r="E455" s="383"/>
      <c r="F455" s="36">
        <v>0</v>
      </c>
      <c r="G455" s="36">
        <v>46</v>
      </c>
      <c r="H455" s="36">
        <v>-4751.74</v>
      </c>
    </row>
    <row r="456" spans="1:8" x14ac:dyDescent="0.2">
      <c r="A456" s="387" t="s">
        <v>618</v>
      </c>
      <c r="B456" s="13">
        <v>42645</v>
      </c>
      <c r="C456" s="14" t="s">
        <v>33</v>
      </c>
      <c r="D456" s="12" t="s">
        <v>1061</v>
      </c>
      <c r="E456" s="4"/>
      <c r="F456" s="36">
        <v>0</v>
      </c>
      <c r="G456" s="36">
        <v>100</v>
      </c>
      <c r="H456" s="36">
        <v>-17120.93</v>
      </c>
    </row>
    <row r="457" spans="1:8" x14ac:dyDescent="0.2">
      <c r="A457" s="387" t="s">
        <v>618</v>
      </c>
      <c r="B457" s="13">
        <v>42689</v>
      </c>
      <c r="C457" s="14" t="s">
        <v>33</v>
      </c>
      <c r="D457" s="316" t="s">
        <v>37</v>
      </c>
      <c r="E457" s="4"/>
      <c r="F457" s="36">
        <v>0</v>
      </c>
      <c r="G457" s="36">
        <v>23</v>
      </c>
      <c r="H457" s="36">
        <v>-29882.22</v>
      </c>
    </row>
    <row r="458" spans="1:8" x14ac:dyDescent="0.2">
      <c r="A458" s="387" t="s">
        <v>618</v>
      </c>
      <c r="B458" s="47">
        <v>42710</v>
      </c>
      <c r="C458" s="27" t="s">
        <v>33</v>
      </c>
      <c r="D458" s="15" t="s">
        <v>37</v>
      </c>
      <c r="E458" s="383"/>
      <c r="F458" s="36">
        <v>0</v>
      </c>
      <c r="G458" s="36">
        <v>16</v>
      </c>
      <c r="H458" s="36">
        <v>-29450.240000000002</v>
      </c>
    </row>
    <row r="459" spans="1:8" x14ac:dyDescent="0.2">
      <c r="A459" s="387" t="s">
        <v>618</v>
      </c>
      <c r="B459" s="47">
        <v>42724</v>
      </c>
      <c r="C459" s="27" t="s">
        <v>33</v>
      </c>
      <c r="D459" s="15" t="s">
        <v>37</v>
      </c>
      <c r="E459" s="383"/>
      <c r="F459" s="36">
        <v>0</v>
      </c>
      <c r="G459" s="36">
        <v>26</v>
      </c>
      <c r="H459" s="36">
        <v>-9450.36</v>
      </c>
    </row>
    <row r="460" spans="1:8" x14ac:dyDescent="0.2">
      <c r="A460" s="387" t="s">
        <v>618</v>
      </c>
      <c r="B460" s="13">
        <v>42738</v>
      </c>
      <c r="C460" s="318" t="s">
        <v>33</v>
      </c>
      <c r="D460" s="12" t="s">
        <v>37</v>
      </c>
      <c r="E460" s="4"/>
      <c r="F460" s="36">
        <v>0</v>
      </c>
      <c r="G460" s="36">
        <v>23</v>
      </c>
      <c r="H460" s="36">
        <v>1242.3399999999999</v>
      </c>
    </row>
    <row r="461" spans="1:8" x14ac:dyDescent="0.2">
      <c r="A461" s="387" t="s">
        <v>618</v>
      </c>
      <c r="B461" s="13">
        <v>42752</v>
      </c>
      <c r="C461" s="318" t="s">
        <v>33</v>
      </c>
      <c r="D461" s="12" t="s">
        <v>37</v>
      </c>
      <c r="E461" s="4"/>
      <c r="F461" s="36">
        <v>0</v>
      </c>
      <c r="G461" s="36">
        <v>27</v>
      </c>
      <c r="H461" s="36">
        <v>13188.79</v>
      </c>
    </row>
    <row r="462" spans="1:8" x14ac:dyDescent="0.2">
      <c r="A462" s="387" t="s">
        <v>618</v>
      </c>
      <c r="B462" s="385">
        <v>42787</v>
      </c>
      <c r="C462" s="386" t="s">
        <v>33</v>
      </c>
      <c r="D462" s="44" t="s">
        <v>34</v>
      </c>
      <c r="E462" s="44"/>
      <c r="F462" s="36">
        <v>0</v>
      </c>
      <c r="G462" s="36">
        <v>46</v>
      </c>
      <c r="H462" s="36">
        <v>13021.17</v>
      </c>
    </row>
    <row r="463" spans="1:8" x14ac:dyDescent="0.2">
      <c r="A463" s="387" t="s">
        <v>618</v>
      </c>
      <c r="B463" s="385">
        <v>42815</v>
      </c>
      <c r="C463" s="386" t="s">
        <v>33</v>
      </c>
      <c r="D463" s="44" t="s">
        <v>37</v>
      </c>
      <c r="E463" s="44"/>
      <c r="F463" s="36">
        <v>0</v>
      </c>
      <c r="G463" s="36">
        <v>18</v>
      </c>
      <c r="H463" s="36">
        <v>18492.152624999999</v>
      </c>
    </row>
    <row r="464" spans="1:8" x14ac:dyDescent="0.2">
      <c r="A464" s="387" t="s">
        <v>618</v>
      </c>
      <c r="B464" s="390">
        <v>42430</v>
      </c>
      <c r="C464" s="27" t="s">
        <v>36</v>
      </c>
      <c r="D464" s="11" t="s">
        <v>1078</v>
      </c>
      <c r="E464" s="44"/>
      <c r="F464" s="383">
        <v>0</v>
      </c>
      <c r="G464" s="383">
        <v>15</v>
      </c>
      <c r="H464" s="4">
        <v>6903.11</v>
      </c>
    </row>
    <row r="465" spans="1:8" x14ac:dyDescent="0.2">
      <c r="A465" s="387" t="s">
        <v>618</v>
      </c>
      <c r="B465" s="390">
        <v>42430</v>
      </c>
      <c r="C465" s="27" t="s">
        <v>36</v>
      </c>
      <c r="D465" s="11" t="s">
        <v>1079</v>
      </c>
      <c r="E465" s="44"/>
      <c r="F465" s="383">
        <v>0</v>
      </c>
      <c r="G465" s="383">
        <v>15</v>
      </c>
      <c r="H465" s="4">
        <v>6951.11</v>
      </c>
    </row>
    <row r="466" spans="1:8" x14ac:dyDescent="0.2">
      <c r="A466" s="387" t="s">
        <v>618</v>
      </c>
      <c r="B466" s="390">
        <v>42444</v>
      </c>
      <c r="C466" s="27" t="s">
        <v>36</v>
      </c>
      <c r="D466" s="393" t="s">
        <v>1080</v>
      </c>
      <c r="E466" s="392"/>
      <c r="F466" s="383">
        <v>0</v>
      </c>
      <c r="G466" s="383">
        <v>15</v>
      </c>
      <c r="H466" s="4">
        <v>15816.18</v>
      </c>
    </row>
    <row r="467" spans="1:8" x14ac:dyDescent="0.2">
      <c r="A467" s="387" t="s">
        <v>618</v>
      </c>
      <c r="B467" s="390">
        <v>42444</v>
      </c>
      <c r="C467" s="27" t="s">
        <v>36</v>
      </c>
      <c r="D467" s="393" t="s">
        <v>1081</v>
      </c>
      <c r="E467" s="392"/>
      <c r="F467" s="383">
        <v>0</v>
      </c>
      <c r="G467" s="383">
        <v>15</v>
      </c>
      <c r="H467" s="4">
        <v>15844.68</v>
      </c>
    </row>
    <row r="468" spans="1:8" x14ac:dyDescent="0.2">
      <c r="A468" s="387" t="s">
        <v>618</v>
      </c>
      <c r="B468" s="390">
        <v>42444</v>
      </c>
      <c r="C468" s="27" t="s">
        <v>36</v>
      </c>
      <c r="D468" s="393" t="s">
        <v>1082</v>
      </c>
      <c r="E468" s="392"/>
      <c r="F468" s="383">
        <v>0</v>
      </c>
      <c r="G468" s="383">
        <v>15</v>
      </c>
      <c r="H468" s="4">
        <v>15873.18</v>
      </c>
    </row>
    <row r="469" spans="1:8" x14ac:dyDescent="0.2">
      <c r="A469" s="387" t="s">
        <v>618</v>
      </c>
      <c r="B469" s="390">
        <v>42444</v>
      </c>
      <c r="C469" s="27" t="s">
        <v>36</v>
      </c>
      <c r="D469" s="393" t="s">
        <v>1083</v>
      </c>
      <c r="E469" s="392"/>
      <c r="F469" s="383">
        <v>0</v>
      </c>
      <c r="G469" s="383">
        <v>15</v>
      </c>
      <c r="H469" s="4">
        <v>15915.18</v>
      </c>
    </row>
    <row r="470" spans="1:8" x14ac:dyDescent="0.2">
      <c r="A470" s="387" t="s">
        <v>618</v>
      </c>
      <c r="B470" s="47">
        <v>42645</v>
      </c>
      <c r="C470" s="27" t="s">
        <v>36</v>
      </c>
      <c r="D470" s="15" t="s">
        <v>654</v>
      </c>
      <c r="E470" s="383"/>
      <c r="F470" s="36">
        <v>0</v>
      </c>
      <c r="G470" s="36">
        <v>135</v>
      </c>
      <c r="H470" s="36">
        <v>-10026.209999999999</v>
      </c>
    </row>
    <row r="471" spans="1:8" x14ac:dyDescent="0.2">
      <c r="A471" s="387" t="s">
        <v>618</v>
      </c>
      <c r="B471" s="13">
        <v>42661</v>
      </c>
      <c r="C471" s="318" t="s">
        <v>36</v>
      </c>
      <c r="D471" s="316" t="s">
        <v>654</v>
      </c>
      <c r="E471" s="4"/>
      <c r="F471" s="36">
        <v>0</v>
      </c>
      <c r="G471" s="36">
        <v>7.5</v>
      </c>
      <c r="H471" s="36">
        <v>-20686.95</v>
      </c>
    </row>
    <row r="472" spans="1:8" x14ac:dyDescent="0.2">
      <c r="A472" s="387" t="s">
        <v>618</v>
      </c>
      <c r="B472" s="385">
        <v>42689</v>
      </c>
      <c r="C472" s="386" t="s">
        <v>36</v>
      </c>
      <c r="D472" s="44" t="s">
        <v>654</v>
      </c>
      <c r="E472" s="44"/>
      <c r="F472" s="36">
        <v>0</v>
      </c>
      <c r="G472" s="36">
        <v>15</v>
      </c>
      <c r="H472" s="36">
        <v>-29540.240000000002</v>
      </c>
    </row>
    <row r="473" spans="1:8" x14ac:dyDescent="0.2">
      <c r="A473" s="387" t="s">
        <v>618</v>
      </c>
      <c r="B473" s="47">
        <v>42710</v>
      </c>
      <c r="C473" s="27" t="s">
        <v>36</v>
      </c>
      <c r="D473" s="15" t="s">
        <v>760</v>
      </c>
      <c r="E473" s="383"/>
      <c r="F473" s="36">
        <v>0</v>
      </c>
      <c r="G473" s="36">
        <v>75</v>
      </c>
      <c r="H473" s="36">
        <v>-2656.68</v>
      </c>
    </row>
    <row r="474" spans="1:8" x14ac:dyDescent="0.2">
      <c r="A474" s="387" t="s">
        <v>618</v>
      </c>
      <c r="B474" s="13">
        <v>42724</v>
      </c>
      <c r="C474" s="318" t="s">
        <v>36</v>
      </c>
      <c r="D474" s="316" t="s">
        <v>29</v>
      </c>
      <c r="E474" s="4"/>
      <c r="F474" s="36">
        <v>0</v>
      </c>
      <c r="G474" s="36">
        <v>107.23</v>
      </c>
      <c r="H474" s="36">
        <v>3049.22</v>
      </c>
    </row>
    <row r="475" spans="1:8" x14ac:dyDescent="0.2">
      <c r="A475" s="387" t="s">
        <v>618</v>
      </c>
      <c r="B475" s="47">
        <v>42738</v>
      </c>
      <c r="C475" s="27" t="s">
        <v>36</v>
      </c>
      <c r="D475" s="15" t="s">
        <v>654</v>
      </c>
      <c r="E475" s="383"/>
      <c r="F475" s="36">
        <v>0</v>
      </c>
      <c r="G475" s="36">
        <v>7.5</v>
      </c>
      <c r="H475" s="36">
        <v>10811.04</v>
      </c>
    </row>
    <row r="476" spans="1:8" x14ac:dyDescent="0.2">
      <c r="A476" s="387" t="s">
        <v>618</v>
      </c>
      <c r="B476" s="385">
        <v>42773</v>
      </c>
      <c r="C476" s="386" t="s">
        <v>36</v>
      </c>
      <c r="D476" s="44" t="s">
        <v>670</v>
      </c>
      <c r="E476" s="44"/>
      <c r="F476" s="36">
        <v>0</v>
      </c>
      <c r="G476" s="36">
        <v>14.5875</v>
      </c>
      <c r="H476" s="36">
        <v>12975.17</v>
      </c>
    </row>
    <row r="477" spans="1:8" x14ac:dyDescent="0.2">
      <c r="A477" s="387" t="s">
        <v>618</v>
      </c>
      <c r="B477" s="47">
        <v>42570</v>
      </c>
      <c r="C477" s="27" t="s">
        <v>39</v>
      </c>
      <c r="D477" s="15" t="s">
        <v>73</v>
      </c>
      <c r="E477" s="383"/>
      <c r="F477" s="36">
        <v>0</v>
      </c>
      <c r="G477" s="36">
        <v>8</v>
      </c>
      <c r="H477" s="36">
        <v>-9.75</v>
      </c>
    </row>
    <row r="478" spans="1:8" x14ac:dyDescent="0.2">
      <c r="A478" s="387" t="s">
        <v>618</v>
      </c>
      <c r="B478" s="47">
        <v>42598</v>
      </c>
      <c r="C478" s="27" t="s">
        <v>39</v>
      </c>
      <c r="D478" s="15" t="s">
        <v>73</v>
      </c>
      <c r="E478" s="383"/>
      <c r="F478" s="36">
        <v>0</v>
      </c>
      <c r="G478" s="36">
        <v>3</v>
      </c>
      <c r="H478" s="36">
        <v>-4604.74</v>
      </c>
    </row>
    <row r="479" spans="1:8" x14ac:dyDescent="0.2">
      <c r="A479" s="387" t="s">
        <v>618</v>
      </c>
      <c r="B479" s="47">
        <v>42619</v>
      </c>
      <c r="C479" s="27" t="s">
        <v>39</v>
      </c>
      <c r="D479" s="15" t="s">
        <v>73</v>
      </c>
      <c r="E479" s="383"/>
      <c r="F479" s="36">
        <v>0</v>
      </c>
      <c r="G479" s="36">
        <v>2</v>
      </c>
      <c r="H479" s="36">
        <v>-11352.17</v>
      </c>
    </row>
    <row r="480" spans="1:8" x14ac:dyDescent="0.2">
      <c r="A480" s="387" t="s">
        <v>618</v>
      </c>
      <c r="B480" s="47">
        <v>42724</v>
      </c>
      <c r="C480" s="27" t="s">
        <v>39</v>
      </c>
      <c r="D480" s="15" t="s">
        <v>1084</v>
      </c>
      <c r="E480" s="383"/>
      <c r="F480" s="36">
        <v>0</v>
      </c>
      <c r="G480" s="36">
        <v>92.8</v>
      </c>
      <c r="H480" s="36">
        <v>-7544.35</v>
      </c>
    </row>
    <row r="481" spans="1:8" x14ac:dyDescent="0.2">
      <c r="A481" s="387" t="s">
        <v>618</v>
      </c>
      <c r="B481" s="47">
        <v>42738</v>
      </c>
      <c r="C481" s="27" t="s">
        <v>39</v>
      </c>
      <c r="D481" s="15" t="s">
        <v>1084</v>
      </c>
      <c r="E481" s="383"/>
      <c r="F481" s="36">
        <v>0</v>
      </c>
      <c r="G481" s="36">
        <v>92.2</v>
      </c>
      <c r="H481" s="36">
        <v>1502.54</v>
      </c>
    </row>
    <row r="482" spans="1:8" x14ac:dyDescent="0.2">
      <c r="A482" s="387" t="s">
        <v>618</v>
      </c>
      <c r="B482" s="47">
        <v>42738</v>
      </c>
      <c r="C482" s="27" t="s">
        <v>39</v>
      </c>
      <c r="D482" s="15" t="s">
        <v>761</v>
      </c>
      <c r="E482" s="383"/>
      <c r="F482" s="36">
        <v>0</v>
      </c>
      <c r="G482" s="36">
        <v>500</v>
      </c>
      <c r="H482" s="36">
        <v>10803.54</v>
      </c>
    </row>
    <row r="483" spans="1:8" x14ac:dyDescent="0.2">
      <c r="A483" s="387" t="s">
        <v>618</v>
      </c>
      <c r="B483" s="47">
        <v>773132</v>
      </c>
      <c r="C483" s="27" t="s">
        <v>39</v>
      </c>
      <c r="D483" s="15" t="s">
        <v>1085</v>
      </c>
      <c r="E483" s="383"/>
      <c r="F483" s="36">
        <v>0</v>
      </c>
      <c r="G483" s="36">
        <v>788</v>
      </c>
      <c r="H483" s="36">
        <v>-9238.2099999999991</v>
      </c>
    </row>
    <row r="484" spans="1:8" x14ac:dyDescent="0.2">
      <c r="A484" s="387" t="s">
        <v>618</v>
      </c>
      <c r="B484" s="388">
        <v>42444</v>
      </c>
      <c r="C484" s="27" t="s">
        <v>81</v>
      </c>
      <c r="D484" s="15" t="s">
        <v>1086</v>
      </c>
      <c r="E484" s="44"/>
      <c r="F484" s="383">
        <v>0</v>
      </c>
      <c r="G484" s="383">
        <v>174.1</v>
      </c>
      <c r="H484" s="4">
        <v>14116.21</v>
      </c>
    </row>
    <row r="485" spans="1:8" x14ac:dyDescent="0.2">
      <c r="A485" s="387" t="s">
        <v>618</v>
      </c>
      <c r="B485" s="13">
        <v>42598</v>
      </c>
      <c r="C485" s="27" t="s">
        <v>81</v>
      </c>
      <c r="D485" s="12" t="s">
        <v>1087</v>
      </c>
      <c r="E485" s="4"/>
      <c r="F485" s="36">
        <v>0</v>
      </c>
      <c r="G485" s="36">
        <v>50</v>
      </c>
      <c r="H485" s="36">
        <v>-4363.79</v>
      </c>
    </row>
    <row r="486" spans="1:8" x14ac:dyDescent="0.2">
      <c r="A486" s="387" t="s">
        <v>618</v>
      </c>
      <c r="B486" s="13">
        <v>42675</v>
      </c>
      <c r="C486" s="318" t="s">
        <v>81</v>
      </c>
      <c r="D486" s="316" t="s">
        <v>971</v>
      </c>
      <c r="E486" s="383"/>
      <c r="F486" s="36">
        <v>0</v>
      </c>
      <c r="G486" s="36">
        <v>50</v>
      </c>
      <c r="H486" s="36">
        <v>-19814.29</v>
      </c>
    </row>
    <row r="487" spans="1:8" x14ac:dyDescent="0.2">
      <c r="A487" s="387" t="s">
        <v>618</v>
      </c>
      <c r="B487" s="47">
        <v>42689</v>
      </c>
      <c r="C487" s="27" t="s">
        <v>81</v>
      </c>
      <c r="D487" s="15" t="s">
        <v>767</v>
      </c>
      <c r="E487" s="383"/>
      <c r="F487" s="36">
        <v>0</v>
      </c>
      <c r="G487" s="36">
        <v>60</v>
      </c>
      <c r="H487" s="36">
        <v>-29564.240000000002</v>
      </c>
    </row>
    <row r="488" spans="1:8" x14ac:dyDescent="0.2">
      <c r="A488" s="387" t="s">
        <v>618</v>
      </c>
      <c r="B488" s="47">
        <v>42724</v>
      </c>
      <c r="C488" s="27" t="s">
        <v>81</v>
      </c>
      <c r="D488" s="15" t="s">
        <v>768</v>
      </c>
      <c r="E488" s="383"/>
      <c r="F488" s="36">
        <v>0</v>
      </c>
      <c r="G488" s="36">
        <v>7</v>
      </c>
      <c r="H488" s="36">
        <v>-9355.36</v>
      </c>
    </row>
    <row r="489" spans="1:8" x14ac:dyDescent="0.2">
      <c r="A489" s="387" t="s">
        <v>618</v>
      </c>
      <c r="B489" s="385">
        <v>42773</v>
      </c>
      <c r="C489" s="386" t="s">
        <v>81</v>
      </c>
      <c r="D489" s="44" t="s">
        <v>867</v>
      </c>
      <c r="E489" s="44"/>
      <c r="F489" s="36">
        <v>0</v>
      </c>
      <c r="G489" s="36">
        <v>30</v>
      </c>
      <c r="H489" s="36">
        <v>12100.55</v>
      </c>
    </row>
    <row r="490" spans="1:8" x14ac:dyDescent="0.2">
      <c r="A490" s="387" t="s">
        <v>618</v>
      </c>
      <c r="B490" s="385">
        <v>42787</v>
      </c>
      <c r="C490" s="386" t="s">
        <v>81</v>
      </c>
      <c r="D490" s="44" t="s">
        <v>867</v>
      </c>
      <c r="E490" s="44"/>
      <c r="F490" s="36">
        <v>0</v>
      </c>
      <c r="G490" s="36">
        <v>16</v>
      </c>
      <c r="H490" s="36">
        <v>13183.27</v>
      </c>
    </row>
    <row r="491" spans="1:8" x14ac:dyDescent="0.2">
      <c r="A491" s="387" t="s">
        <v>618</v>
      </c>
      <c r="B491" s="13">
        <v>42689</v>
      </c>
      <c r="C491" s="14" t="s">
        <v>44</v>
      </c>
      <c r="D491" s="12" t="s">
        <v>1088</v>
      </c>
      <c r="E491" s="4"/>
      <c r="F491" s="36">
        <v>0</v>
      </c>
      <c r="G491" s="36">
        <v>12</v>
      </c>
      <c r="H491" s="36">
        <v>-29624.240000000002</v>
      </c>
    </row>
    <row r="492" spans="1:8" x14ac:dyDescent="0.2">
      <c r="A492" s="387" t="s">
        <v>618</v>
      </c>
      <c r="B492" s="47">
        <v>42752</v>
      </c>
      <c r="C492" s="27" t="s">
        <v>44</v>
      </c>
      <c r="D492" s="15" t="s">
        <v>918</v>
      </c>
      <c r="E492" s="383"/>
      <c r="F492" s="36">
        <v>0</v>
      </c>
      <c r="G492" s="36">
        <v>19.02</v>
      </c>
      <c r="H492" s="36">
        <v>15125.41</v>
      </c>
    </row>
    <row r="493" spans="1:8" x14ac:dyDescent="0.2">
      <c r="A493" s="387" t="s">
        <v>618</v>
      </c>
      <c r="B493" s="47">
        <v>42752</v>
      </c>
      <c r="C493" s="27" t="s">
        <v>44</v>
      </c>
      <c r="D493" s="15" t="s">
        <v>918</v>
      </c>
      <c r="E493" s="383"/>
      <c r="F493" s="36">
        <v>0</v>
      </c>
      <c r="G493" s="36">
        <v>106</v>
      </c>
      <c r="H493" s="36">
        <v>15231.41</v>
      </c>
    </row>
    <row r="494" spans="1:8" x14ac:dyDescent="0.2">
      <c r="A494" s="387" t="s">
        <v>618</v>
      </c>
      <c r="B494" s="385">
        <v>42787</v>
      </c>
      <c r="C494" s="386" t="s">
        <v>44</v>
      </c>
      <c r="D494" s="44" t="s">
        <v>1089</v>
      </c>
      <c r="E494" s="44"/>
      <c r="F494" s="36">
        <v>0</v>
      </c>
      <c r="G494" s="36">
        <v>13.1</v>
      </c>
      <c r="H494" s="36">
        <v>13167.27</v>
      </c>
    </row>
    <row r="495" spans="1:8" x14ac:dyDescent="0.2">
      <c r="A495" s="387" t="s">
        <v>618</v>
      </c>
      <c r="B495" s="13">
        <v>42374</v>
      </c>
      <c r="C495" s="14" t="s">
        <v>167</v>
      </c>
      <c r="D495" s="12" t="s">
        <v>37</v>
      </c>
      <c r="E495" s="12"/>
      <c r="F495" s="383">
        <v>0</v>
      </c>
      <c r="G495" s="383">
        <v>22</v>
      </c>
      <c r="H495" s="4">
        <v>-8654.5</v>
      </c>
    </row>
    <row r="496" spans="1:8" x14ac:dyDescent="0.2">
      <c r="A496" s="387" t="s">
        <v>618</v>
      </c>
      <c r="B496" s="13">
        <v>42374</v>
      </c>
      <c r="C496" s="14" t="s">
        <v>167</v>
      </c>
      <c r="D496" s="12" t="s">
        <v>1090</v>
      </c>
      <c r="E496" s="12"/>
      <c r="F496" s="383">
        <v>0</v>
      </c>
      <c r="G496" s="383">
        <v>20</v>
      </c>
      <c r="H496" s="4">
        <v>-5787.08</v>
      </c>
    </row>
    <row r="497" spans="1:8" x14ac:dyDescent="0.2">
      <c r="A497" s="387" t="s">
        <v>618</v>
      </c>
      <c r="B497" s="13">
        <v>42374</v>
      </c>
      <c r="C497" s="14" t="s">
        <v>167</v>
      </c>
      <c r="D497" s="12" t="s">
        <v>1091</v>
      </c>
      <c r="E497" s="12"/>
      <c r="F497" s="383">
        <v>0</v>
      </c>
      <c r="G497" s="383">
        <v>62.15</v>
      </c>
      <c r="H497" s="4">
        <v>-5724.93</v>
      </c>
    </row>
    <row r="498" spans="1:8" x14ac:dyDescent="0.2">
      <c r="A498" s="387" t="s">
        <v>618</v>
      </c>
      <c r="B498" s="390">
        <v>42402</v>
      </c>
      <c r="C498" s="27" t="s">
        <v>167</v>
      </c>
      <c r="D498" s="11" t="s">
        <v>1092</v>
      </c>
      <c r="E498" s="44"/>
      <c r="F498" s="383">
        <v>0</v>
      </c>
      <c r="G498" s="383">
        <v>23</v>
      </c>
      <c r="H498" s="4">
        <v>-3148.18</v>
      </c>
    </row>
    <row r="499" spans="1:8" x14ac:dyDescent="0.2">
      <c r="A499" s="387" t="s">
        <v>618</v>
      </c>
      <c r="B499" s="388">
        <v>42416</v>
      </c>
      <c r="C499" s="27" t="s">
        <v>167</v>
      </c>
      <c r="D499" s="391" t="s">
        <v>1092</v>
      </c>
      <c r="E499" s="392"/>
      <c r="F499" s="383">
        <v>0</v>
      </c>
      <c r="G499" s="383">
        <v>21</v>
      </c>
      <c r="H499" s="4">
        <v>-2031.67</v>
      </c>
    </row>
    <row r="500" spans="1:8" x14ac:dyDescent="0.2">
      <c r="A500" s="387" t="s">
        <v>618</v>
      </c>
      <c r="B500" s="388">
        <v>42416</v>
      </c>
      <c r="C500" s="27" t="s">
        <v>167</v>
      </c>
      <c r="D500" s="391" t="s">
        <v>1093</v>
      </c>
      <c r="E500" s="392"/>
      <c r="F500" s="383">
        <v>0</v>
      </c>
      <c r="G500" s="383">
        <v>1.05</v>
      </c>
      <c r="H500" s="4">
        <v>-1938.62</v>
      </c>
    </row>
    <row r="501" spans="1:8" x14ac:dyDescent="0.2">
      <c r="A501" s="387" t="s">
        <v>618</v>
      </c>
      <c r="B501" s="390">
        <v>42430</v>
      </c>
      <c r="C501" s="27" t="s">
        <v>167</v>
      </c>
      <c r="D501" s="11" t="s">
        <v>1092</v>
      </c>
      <c r="E501" s="44"/>
      <c r="F501" s="383">
        <v>0</v>
      </c>
      <c r="G501" s="383">
        <v>30</v>
      </c>
      <c r="H501" s="4">
        <v>-8578.02</v>
      </c>
    </row>
    <row r="502" spans="1:8" x14ac:dyDescent="0.2">
      <c r="A502" s="387" t="s">
        <v>618</v>
      </c>
      <c r="B502" s="390">
        <v>42430</v>
      </c>
      <c r="C502" s="27" t="s">
        <v>167</v>
      </c>
      <c r="D502" s="11" t="s">
        <v>1093</v>
      </c>
      <c r="E502" s="44"/>
      <c r="F502" s="383">
        <v>0</v>
      </c>
      <c r="G502" s="383">
        <v>10.35</v>
      </c>
      <c r="H502" s="4">
        <v>-7795.67</v>
      </c>
    </row>
    <row r="503" spans="1:8" x14ac:dyDescent="0.2">
      <c r="A503" s="387" t="s">
        <v>618</v>
      </c>
      <c r="B503" s="390">
        <v>42444</v>
      </c>
      <c r="C503" s="27" t="s">
        <v>167</v>
      </c>
      <c r="D503" s="30" t="s">
        <v>1092</v>
      </c>
      <c r="E503" s="392"/>
      <c r="F503" s="383">
        <v>0</v>
      </c>
      <c r="G503" s="383">
        <v>33</v>
      </c>
      <c r="H503" s="4">
        <v>7460.61</v>
      </c>
    </row>
    <row r="504" spans="1:8" x14ac:dyDescent="0.2">
      <c r="A504" s="387" t="s">
        <v>618</v>
      </c>
      <c r="B504" s="390">
        <v>42444</v>
      </c>
      <c r="C504" s="27" t="s">
        <v>167</v>
      </c>
      <c r="D504" s="30" t="s">
        <v>1093</v>
      </c>
      <c r="E504" s="392"/>
      <c r="F504" s="383">
        <v>0</v>
      </c>
      <c r="G504" s="383">
        <v>10</v>
      </c>
      <c r="H504" s="4">
        <v>9425.98</v>
      </c>
    </row>
    <row r="505" spans="1:8" x14ac:dyDescent="0.2">
      <c r="A505" s="387" t="s">
        <v>618</v>
      </c>
      <c r="B505" s="390">
        <v>42444</v>
      </c>
      <c r="C505" s="27" t="s">
        <v>167</v>
      </c>
      <c r="D505" s="30" t="s">
        <v>1093</v>
      </c>
      <c r="E505" s="392"/>
      <c r="F505" s="383">
        <v>0</v>
      </c>
      <c r="G505" s="383">
        <v>21.7</v>
      </c>
      <c r="H505" s="4">
        <v>9447.68</v>
      </c>
    </row>
    <row r="506" spans="1:8" x14ac:dyDescent="0.2">
      <c r="A506" s="387" t="s">
        <v>618</v>
      </c>
      <c r="B506" s="388">
        <v>42468</v>
      </c>
      <c r="C506" s="27" t="s">
        <v>167</v>
      </c>
      <c r="D506" s="15" t="s">
        <v>222</v>
      </c>
      <c r="E506" s="44"/>
      <c r="F506" s="383">
        <v>0</v>
      </c>
      <c r="G506" s="383">
        <v>5246.99</v>
      </c>
      <c r="H506" s="4">
        <v>31810.66</v>
      </c>
    </row>
    <row r="507" spans="1:8" x14ac:dyDescent="0.2">
      <c r="A507" s="387" t="s">
        <v>618</v>
      </c>
      <c r="B507" s="388">
        <v>42513</v>
      </c>
      <c r="C507" s="27" t="s">
        <v>167</v>
      </c>
      <c r="D507" s="15" t="s">
        <v>37</v>
      </c>
      <c r="E507" s="44"/>
      <c r="F507" s="36">
        <v>0</v>
      </c>
      <c r="G507" s="383">
        <v>60</v>
      </c>
      <c r="H507" s="4">
        <v>-952.83000000000197</v>
      </c>
    </row>
    <row r="508" spans="1:8" x14ac:dyDescent="0.2">
      <c r="A508" s="387" t="s">
        <v>618</v>
      </c>
      <c r="B508" s="388">
        <v>42513</v>
      </c>
      <c r="C508" s="27" t="s">
        <v>167</v>
      </c>
      <c r="D508" s="15" t="s">
        <v>1094</v>
      </c>
      <c r="E508" s="44"/>
      <c r="F508" s="36">
        <v>0</v>
      </c>
      <c r="G508" s="383">
        <v>5.35</v>
      </c>
      <c r="H508" s="4">
        <v>1277.72</v>
      </c>
    </row>
    <row r="509" spans="1:8" x14ac:dyDescent="0.2">
      <c r="A509" s="387" t="s">
        <v>618</v>
      </c>
      <c r="B509" s="13">
        <v>42552</v>
      </c>
      <c r="C509" s="14" t="s">
        <v>167</v>
      </c>
      <c r="D509" s="12" t="s">
        <v>1095</v>
      </c>
      <c r="E509" s="4"/>
      <c r="F509" s="36">
        <v>0</v>
      </c>
      <c r="G509" s="36">
        <v>1338</v>
      </c>
      <c r="H509" s="36">
        <v>1338</v>
      </c>
    </row>
    <row r="510" spans="1:8" x14ac:dyDescent="0.2">
      <c r="A510" s="387" t="s">
        <v>618</v>
      </c>
      <c r="B510" s="47">
        <v>42570</v>
      </c>
      <c r="C510" s="27" t="s">
        <v>167</v>
      </c>
      <c r="D510" s="15" t="s">
        <v>168</v>
      </c>
      <c r="E510" s="383"/>
      <c r="F510" s="36">
        <v>0</v>
      </c>
      <c r="G510" s="36">
        <v>8</v>
      </c>
      <c r="H510" s="36">
        <v>-9.75</v>
      </c>
    </row>
    <row r="511" spans="1:8" x14ac:dyDescent="0.2">
      <c r="A511" s="387" t="s">
        <v>618</v>
      </c>
      <c r="B511" s="47">
        <v>42598</v>
      </c>
      <c r="C511" s="27" t="s">
        <v>167</v>
      </c>
      <c r="D511" s="15" t="s">
        <v>168</v>
      </c>
      <c r="E511" s="383"/>
      <c r="F511" s="36">
        <v>0</v>
      </c>
      <c r="G511" s="36">
        <v>3</v>
      </c>
      <c r="H511" s="36">
        <v>-4604.74</v>
      </c>
    </row>
    <row r="512" spans="1:8" x14ac:dyDescent="0.2">
      <c r="A512" s="387" t="s">
        <v>618</v>
      </c>
      <c r="B512" s="47">
        <v>42619</v>
      </c>
      <c r="C512" s="27" t="s">
        <v>167</v>
      </c>
      <c r="D512" s="15" t="s">
        <v>168</v>
      </c>
      <c r="E512" s="383"/>
      <c r="F512" s="36">
        <v>0</v>
      </c>
      <c r="G512" s="36">
        <v>2</v>
      </c>
      <c r="H512" s="36">
        <v>-11352.17</v>
      </c>
    </row>
    <row r="513" spans="1:8" x14ac:dyDescent="0.2">
      <c r="A513" s="387" t="s">
        <v>618</v>
      </c>
      <c r="B513" s="47">
        <v>42645</v>
      </c>
      <c r="C513" s="27" t="s">
        <v>167</v>
      </c>
      <c r="D513" s="15" t="s">
        <v>776</v>
      </c>
      <c r="E513" s="383"/>
      <c r="F513" s="36">
        <v>0</v>
      </c>
      <c r="G513" s="36">
        <v>194</v>
      </c>
      <c r="H513" s="36">
        <v>-15863.33</v>
      </c>
    </row>
    <row r="514" spans="1:8" x14ac:dyDescent="0.2">
      <c r="A514" s="387" t="s">
        <v>618</v>
      </c>
      <c r="B514" s="47">
        <v>42645</v>
      </c>
      <c r="C514" s="27" t="s">
        <v>167</v>
      </c>
      <c r="D514" s="12" t="s">
        <v>777</v>
      </c>
      <c r="E514" s="4"/>
      <c r="F514" s="36">
        <v>0</v>
      </c>
      <c r="G514" s="36">
        <v>3583.17</v>
      </c>
      <c r="H514" s="36">
        <v>-10317.209999999999</v>
      </c>
    </row>
    <row r="515" spans="1:8" x14ac:dyDescent="0.2">
      <c r="A515" s="387" t="s">
        <v>618</v>
      </c>
      <c r="B515" s="47">
        <v>42661</v>
      </c>
      <c r="C515" s="27" t="s">
        <v>167</v>
      </c>
      <c r="D515" s="15" t="s">
        <v>222</v>
      </c>
      <c r="E515" s="383"/>
      <c r="F515" s="36">
        <v>0</v>
      </c>
      <c r="G515" s="36">
        <v>50</v>
      </c>
      <c r="H515" s="36">
        <v>-20743.099999999999</v>
      </c>
    </row>
    <row r="516" spans="1:8" x14ac:dyDescent="0.2">
      <c r="A516" s="387" t="s">
        <v>618</v>
      </c>
      <c r="B516" s="47">
        <v>42710</v>
      </c>
      <c r="C516" s="27" t="s">
        <v>167</v>
      </c>
      <c r="D516" s="15" t="s">
        <v>1084</v>
      </c>
      <c r="E516" s="383"/>
      <c r="F516" s="36">
        <v>0</v>
      </c>
      <c r="G516" s="36">
        <v>0.35</v>
      </c>
      <c r="H516" s="36">
        <v>-29334.89</v>
      </c>
    </row>
    <row r="517" spans="1:8" x14ac:dyDescent="0.2">
      <c r="A517" s="387" t="s">
        <v>618</v>
      </c>
      <c r="B517" s="385">
        <v>42815</v>
      </c>
      <c r="C517" s="386" t="s">
        <v>167</v>
      </c>
      <c r="D517" s="44" t="s">
        <v>1084</v>
      </c>
      <c r="E517" s="44"/>
      <c r="F517" s="36">
        <v>0</v>
      </c>
      <c r="G517" s="36">
        <v>1.05</v>
      </c>
      <c r="H517" s="36">
        <v>18585.202625000002</v>
      </c>
    </row>
    <row r="518" spans="1:8" x14ac:dyDescent="0.2">
      <c r="A518" s="387" t="s">
        <v>618</v>
      </c>
      <c r="B518" s="15" t="s">
        <v>1096</v>
      </c>
      <c r="C518" s="27" t="s">
        <v>167</v>
      </c>
      <c r="D518" s="15" t="s">
        <v>168</v>
      </c>
      <c r="E518" s="44"/>
      <c r="F518" s="36">
        <v>0</v>
      </c>
      <c r="G518" s="383">
        <v>7681.12</v>
      </c>
      <c r="H518" s="4">
        <v>-23726.83</v>
      </c>
    </row>
    <row r="519" spans="1:8" x14ac:dyDescent="0.2">
      <c r="A519" s="387" t="s">
        <v>618</v>
      </c>
      <c r="B519" s="13">
        <v>42374</v>
      </c>
      <c r="C519" s="14" t="s">
        <v>170</v>
      </c>
      <c r="D519" s="12" t="s">
        <v>887</v>
      </c>
      <c r="E519" s="12"/>
      <c r="F519" s="383">
        <v>0</v>
      </c>
      <c r="G519" s="383">
        <v>206</v>
      </c>
      <c r="H519" s="4">
        <v>-6613.53</v>
      </c>
    </row>
    <row r="520" spans="1:8" x14ac:dyDescent="0.2">
      <c r="A520" s="387" t="s">
        <v>618</v>
      </c>
      <c r="B520" s="390">
        <v>42430</v>
      </c>
      <c r="C520" s="27" t="s">
        <v>170</v>
      </c>
      <c r="D520" s="11" t="s">
        <v>1097</v>
      </c>
      <c r="E520" s="44"/>
      <c r="F520" s="383">
        <v>0</v>
      </c>
      <c r="G520" s="383">
        <v>90</v>
      </c>
      <c r="H520" s="4">
        <v>-7806.02</v>
      </c>
    </row>
    <row r="521" spans="1:8" x14ac:dyDescent="0.2">
      <c r="A521" s="387" t="s">
        <v>618</v>
      </c>
      <c r="B521" s="13">
        <v>42619</v>
      </c>
      <c r="C521" s="14" t="s">
        <v>170</v>
      </c>
      <c r="D521" s="12" t="s">
        <v>1098</v>
      </c>
      <c r="E521" s="4"/>
      <c r="F521" s="36">
        <v>0</v>
      </c>
      <c r="G521" s="36">
        <v>530</v>
      </c>
      <c r="H521" s="36">
        <v>-10822.17</v>
      </c>
    </row>
    <row r="522" spans="1:8" x14ac:dyDescent="0.2">
      <c r="A522" s="387" t="s">
        <v>618</v>
      </c>
      <c r="B522" s="13">
        <v>42374</v>
      </c>
      <c r="C522" s="14" t="s">
        <v>113</v>
      </c>
      <c r="D522" s="59" t="s">
        <v>97</v>
      </c>
      <c r="E522" s="12"/>
      <c r="F522" s="383">
        <v>0</v>
      </c>
      <c r="G522" s="59">
        <v>136</v>
      </c>
      <c r="H522" s="4">
        <v>-8691.5</v>
      </c>
    </row>
    <row r="523" spans="1:8" x14ac:dyDescent="0.2">
      <c r="A523" s="387" t="s">
        <v>618</v>
      </c>
      <c r="B523" s="390">
        <v>42402</v>
      </c>
      <c r="C523" s="27" t="s">
        <v>113</v>
      </c>
      <c r="D523" s="11" t="s">
        <v>1099</v>
      </c>
      <c r="E523" s="44"/>
      <c r="F523" s="383">
        <v>0</v>
      </c>
      <c r="G523" s="383">
        <v>71</v>
      </c>
      <c r="H523" s="4">
        <v>-3066.18</v>
      </c>
    </row>
    <row r="524" spans="1:8" x14ac:dyDescent="0.2">
      <c r="A524" s="387" t="s">
        <v>618</v>
      </c>
      <c r="B524" s="388">
        <v>42416</v>
      </c>
      <c r="C524" s="27" t="s">
        <v>113</v>
      </c>
      <c r="D524" s="391" t="s">
        <v>1099</v>
      </c>
      <c r="E524" s="392"/>
      <c r="F524" s="383">
        <v>0</v>
      </c>
      <c r="G524" s="383">
        <v>82</v>
      </c>
      <c r="H524" s="4">
        <v>-1939.67</v>
      </c>
    </row>
    <row r="525" spans="1:8" x14ac:dyDescent="0.2">
      <c r="A525" s="387" t="s">
        <v>618</v>
      </c>
      <c r="B525" s="390">
        <v>42430</v>
      </c>
      <c r="C525" s="27" t="s">
        <v>113</v>
      </c>
      <c r="D525" s="11" t="s">
        <v>1099</v>
      </c>
      <c r="E525" s="44"/>
      <c r="F525" s="383">
        <v>0</v>
      </c>
      <c r="G525" s="383">
        <v>51</v>
      </c>
      <c r="H525" s="4">
        <v>-8491.02</v>
      </c>
    </row>
    <row r="526" spans="1:8" x14ac:dyDescent="0.2">
      <c r="A526" s="387" t="s">
        <v>618</v>
      </c>
      <c r="B526" s="390">
        <v>42444</v>
      </c>
      <c r="C526" s="27" t="s">
        <v>113</v>
      </c>
      <c r="D526" s="30" t="s">
        <v>1099</v>
      </c>
      <c r="E526" s="392"/>
      <c r="F526" s="383">
        <v>0</v>
      </c>
      <c r="G526" s="383">
        <v>74</v>
      </c>
      <c r="H526" s="4">
        <v>7578.61</v>
      </c>
    </row>
    <row r="527" spans="1:8" x14ac:dyDescent="0.2">
      <c r="A527" s="387" t="s">
        <v>618</v>
      </c>
      <c r="B527" s="388">
        <v>42513</v>
      </c>
      <c r="C527" s="27" t="s">
        <v>113</v>
      </c>
      <c r="D527" s="15" t="s">
        <v>1099</v>
      </c>
      <c r="E527" s="44"/>
      <c r="F527" s="36">
        <v>0</v>
      </c>
      <c r="G527" s="383">
        <v>133</v>
      </c>
      <c r="H527" s="4">
        <v>-1093.83</v>
      </c>
    </row>
    <row r="528" spans="1:8" x14ac:dyDescent="0.2">
      <c r="A528" s="387" t="s">
        <v>618</v>
      </c>
      <c r="B528" s="47">
        <v>42570</v>
      </c>
      <c r="C528" s="27" t="s">
        <v>113</v>
      </c>
      <c r="D528" s="15" t="s">
        <v>97</v>
      </c>
      <c r="E528" s="383"/>
      <c r="F528" s="36">
        <v>0</v>
      </c>
      <c r="G528" s="36">
        <v>60</v>
      </c>
      <c r="H528" s="36">
        <v>-17.75</v>
      </c>
    </row>
    <row r="529" spans="1:8" x14ac:dyDescent="0.2">
      <c r="A529" s="387" t="s">
        <v>618</v>
      </c>
      <c r="B529" s="47">
        <v>42598</v>
      </c>
      <c r="C529" s="27" t="s">
        <v>113</v>
      </c>
      <c r="D529" s="15" t="s">
        <v>97</v>
      </c>
      <c r="E529" s="383"/>
      <c r="F529" s="36">
        <v>0</v>
      </c>
      <c r="G529" s="36">
        <v>128</v>
      </c>
      <c r="H529" s="36">
        <v>-4607.74</v>
      </c>
    </row>
    <row r="530" spans="1:8" x14ac:dyDescent="0.2">
      <c r="A530" s="387" t="s">
        <v>618</v>
      </c>
      <c r="B530" s="47">
        <v>42619</v>
      </c>
      <c r="C530" s="27" t="s">
        <v>113</v>
      </c>
      <c r="D530" s="15" t="s">
        <v>97</v>
      </c>
      <c r="E530" s="383"/>
      <c r="F530" s="36">
        <v>0</v>
      </c>
      <c r="G530" s="36">
        <v>70</v>
      </c>
      <c r="H530" s="36">
        <v>-11376.17</v>
      </c>
    </row>
    <row r="531" spans="1:8" x14ac:dyDescent="0.2">
      <c r="A531" s="387" t="s">
        <v>618</v>
      </c>
      <c r="B531" s="47">
        <v>42645</v>
      </c>
      <c r="C531" s="27" t="s">
        <v>113</v>
      </c>
      <c r="D531" s="15" t="s">
        <v>97</v>
      </c>
      <c r="E531" s="383"/>
      <c r="F531" s="36">
        <v>0</v>
      </c>
      <c r="G531" s="36">
        <v>210</v>
      </c>
      <c r="H531" s="36">
        <v>-16800.93</v>
      </c>
    </row>
    <row r="532" spans="1:8" x14ac:dyDescent="0.2">
      <c r="A532" s="387" t="s">
        <v>618</v>
      </c>
      <c r="B532" s="13">
        <v>42661</v>
      </c>
      <c r="C532" s="318" t="s">
        <v>113</v>
      </c>
      <c r="D532" s="316" t="s">
        <v>97</v>
      </c>
      <c r="E532" s="4"/>
      <c r="F532" s="36">
        <v>0</v>
      </c>
      <c r="G532" s="36">
        <v>68</v>
      </c>
      <c r="H532" s="36">
        <v>-21654.080000000002</v>
      </c>
    </row>
    <row r="533" spans="1:8" x14ac:dyDescent="0.2">
      <c r="A533" s="387" t="s">
        <v>618</v>
      </c>
      <c r="B533" s="13">
        <v>42689</v>
      </c>
      <c r="C533" s="14" t="s">
        <v>113</v>
      </c>
      <c r="D533" s="316" t="s">
        <v>177</v>
      </c>
      <c r="E533" s="4"/>
      <c r="F533" s="36">
        <v>0</v>
      </c>
      <c r="G533" s="36">
        <v>95</v>
      </c>
      <c r="H533" s="36">
        <v>-29777.22</v>
      </c>
    </row>
    <row r="534" spans="1:8" x14ac:dyDescent="0.2">
      <c r="A534" s="387" t="s">
        <v>618</v>
      </c>
      <c r="B534" s="47">
        <v>42710</v>
      </c>
      <c r="C534" s="27" t="s">
        <v>113</v>
      </c>
      <c r="D534" s="15" t="s">
        <v>177</v>
      </c>
      <c r="E534" s="383"/>
      <c r="F534" s="36">
        <v>0</v>
      </c>
      <c r="G534" s="36">
        <v>115</v>
      </c>
      <c r="H534" s="36">
        <v>-29335.24</v>
      </c>
    </row>
    <row r="535" spans="1:8" x14ac:dyDescent="0.2">
      <c r="A535" s="387" t="s">
        <v>618</v>
      </c>
      <c r="B535" s="47">
        <v>42724</v>
      </c>
      <c r="C535" s="27" t="s">
        <v>113</v>
      </c>
      <c r="D535" s="15" t="s">
        <v>177</v>
      </c>
      <c r="E535" s="383"/>
      <c r="F535" s="36">
        <v>0</v>
      </c>
      <c r="G535" s="36">
        <v>66</v>
      </c>
      <c r="H535" s="36">
        <v>-9362.36</v>
      </c>
    </row>
    <row r="536" spans="1:8" x14ac:dyDescent="0.2">
      <c r="A536" s="387" t="s">
        <v>618</v>
      </c>
      <c r="B536" s="47">
        <v>42738</v>
      </c>
      <c r="C536" s="27" t="s">
        <v>113</v>
      </c>
      <c r="D536" s="15" t="s">
        <v>177</v>
      </c>
      <c r="E536" s="383"/>
      <c r="F536" s="36">
        <v>0</v>
      </c>
      <c r="G536" s="36">
        <v>103</v>
      </c>
      <c r="H536" s="36">
        <v>1410.34</v>
      </c>
    </row>
    <row r="537" spans="1:8" x14ac:dyDescent="0.2">
      <c r="A537" s="387" t="s">
        <v>618</v>
      </c>
      <c r="B537" s="47">
        <v>42752</v>
      </c>
      <c r="C537" s="27" t="s">
        <v>113</v>
      </c>
      <c r="D537" s="15" t="s">
        <v>97</v>
      </c>
      <c r="E537" s="383"/>
      <c r="F537" s="36">
        <v>0</v>
      </c>
      <c r="G537" s="36">
        <v>83</v>
      </c>
      <c r="H537" s="36">
        <v>13283.79</v>
      </c>
    </row>
    <row r="538" spans="1:8" x14ac:dyDescent="0.2">
      <c r="A538" s="387" t="s">
        <v>618</v>
      </c>
      <c r="B538" s="385">
        <v>42773</v>
      </c>
      <c r="C538" s="386" t="s">
        <v>113</v>
      </c>
      <c r="D538" s="44" t="s">
        <v>177</v>
      </c>
      <c r="E538" s="44"/>
      <c r="F538" s="36">
        <v>0</v>
      </c>
      <c r="G538" s="36">
        <v>87</v>
      </c>
      <c r="H538" s="36">
        <v>12035.45</v>
      </c>
    </row>
    <row r="539" spans="1:8" x14ac:dyDescent="0.2">
      <c r="A539" s="387" t="s">
        <v>618</v>
      </c>
      <c r="B539" s="385">
        <v>42787</v>
      </c>
      <c r="C539" s="386" t="s">
        <v>113</v>
      </c>
      <c r="D539" s="44" t="s">
        <v>114</v>
      </c>
      <c r="E539" s="44"/>
      <c r="F539" s="36">
        <v>0</v>
      </c>
      <c r="G539" s="36">
        <v>93</v>
      </c>
      <c r="H539" s="36">
        <v>13154.17</v>
      </c>
    </row>
    <row r="540" spans="1:8" x14ac:dyDescent="0.2">
      <c r="A540" s="387" t="s">
        <v>618</v>
      </c>
      <c r="B540" s="385">
        <v>42801</v>
      </c>
      <c r="C540" s="386" t="s">
        <v>113</v>
      </c>
      <c r="D540" s="44" t="s">
        <v>97</v>
      </c>
      <c r="E540" s="44"/>
      <c r="F540" s="36">
        <v>0</v>
      </c>
      <c r="G540" s="36">
        <v>51</v>
      </c>
      <c r="H540" s="36">
        <v>3279.8626250000002</v>
      </c>
    </row>
    <row r="541" spans="1:8" x14ac:dyDescent="0.2">
      <c r="A541" s="387" t="s">
        <v>618</v>
      </c>
      <c r="B541" s="385">
        <v>42815</v>
      </c>
      <c r="C541" s="386" t="s">
        <v>113</v>
      </c>
      <c r="D541" s="44" t="s">
        <v>97</v>
      </c>
      <c r="E541" s="44"/>
      <c r="F541" s="36">
        <v>0</v>
      </c>
      <c r="G541" s="36">
        <v>82</v>
      </c>
      <c r="H541" s="36">
        <v>18584.152624999999</v>
      </c>
    </row>
    <row r="542" spans="1:8" x14ac:dyDescent="0.2">
      <c r="A542" s="387" t="s">
        <v>618</v>
      </c>
      <c r="B542" s="47">
        <v>42619</v>
      </c>
      <c r="C542" s="27" t="s">
        <v>290</v>
      </c>
      <c r="D542" s="15" t="s">
        <v>607</v>
      </c>
      <c r="E542" s="383"/>
      <c r="F542" s="36">
        <v>0</v>
      </c>
      <c r="G542" s="36">
        <v>22</v>
      </c>
      <c r="H542" s="36">
        <v>-11354.17</v>
      </c>
    </row>
    <row r="543" spans="1:8" x14ac:dyDescent="0.2">
      <c r="A543" s="387" t="s">
        <v>618</v>
      </c>
      <c r="B543" s="47">
        <v>42710</v>
      </c>
      <c r="C543" s="27" t="s">
        <v>47</v>
      </c>
      <c r="D543" s="15" t="s">
        <v>780</v>
      </c>
      <c r="E543" s="383"/>
      <c r="F543" s="36">
        <v>0</v>
      </c>
      <c r="G543" s="36">
        <v>17564</v>
      </c>
      <c r="H543" s="36">
        <v>-11554.89</v>
      </c>
    </row>
    <row r="544" spans="1:8" x14ac:dyDescent="0.2">
      <c r="A544" s="387" t="s">
        <v>618</v>
      </c>
      <c r="B544" s="13">
        <v>42710</v>
      </c>
      <c r="C544" s="318" t="s">
        <v>47</v>
      </c>
      <c r="D544" s="12" t="s">
        <v>780</v>
      </c>
      <c r="E544" s="4"/>
      <c r="F544" s="36">
        <v>0</v>
      </c>
      <c r="G544" s="36">
        <v>8772.2099999999991</v>
      </c>
      <c r="H544" s="36">
        <v>-2782.68</v>
      </c>
    </row>
    <row r="545" spans="1:8" x14ac:dyDescent="0.2">
      <c r="A545" s="387" t="s">
        <v>618</v>
      </c>
      <c r="B545" s="13">
        <v>42724</v>
      </c>
      <c r="C545" s="318" t="s">
        <v>47</v>
      </c>
      <c r="D545" s="316" t="s">
        <v>781</v>
      </c>
      <c r="E545" s="4"/>
      <c r="F545" s="36">
        <v>0</v>
      </c>
      <c r="G545" s="36">
        <v>9045.3799999999992</v>
      </c>
      <c r="H545" s="36">
        <v>1780.01</v>
      </c>
    </row>
    <row r="546" spans="1:8" x14ac:dyDescent="0.2">
      <c r="A546" s="387" t="s">
        <v>618</v>
      </c>
      <c r="B546" s="13">
        <v>42738</v>
      </c>
      <c r="C546" s="318" t="s">
        <v>47</v>
      </c>
      <c r="D546" s="316" t="s">
        <v>781</v>
      </c>
      <c r="E546" s="4"/>
      <c r="F546" s="36">
        <v>0</v>
      </c>
      <c r="G546" s="36">
        <v>8511</v>
      </c>
      <c r="H546" s="36">
        <v>10013.540000000001</v>
      </c>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4.25" x14ac:dyDescent="0.2"/>
  <cols>
    <col min="1" max="1024" width="7.375" customWidth="1"/>
  </cols>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74"/>
  <sheetViews>
    <sheetView workbookViewId="0"/>
  </sheetViews>
  <sheetFormatPr defaultRowHeight="14.25" x14ac:dyDescent="0.2"/>
  <cols>
    <col min="1" max="9" width="10.75" customWidth="1"/>
  </cols>
  <sheetData>
    <row r="1" spans="1:9" x14ac:dyDescent="0.2">
      <c r="A1" t="s">
        <v>5</v>
      </c>
      <c r="B1" t="s">
        <v>6</v>
      </c>
      <c r="C1" t="s">
        <v>593</v>
      </c>
      <c r="D1" t="s">
        <v>594</v>
      </c>
      <c r="E1" t="s">
        <v>595</v>
      </c>
      <c r="F1" t="s">
        <v>596</v>
      </c>
      <c r="G1" t="s">
        <v>597</v>
      </c>
      <c r="H1" t="s">
        <v>598</v>
      </c>
      <c r="I1" t="s">
        <v>1100</v>
      </c>
    </row>
    <row r="2" spans="1:9" x14ac:dyDescent="0.2">
      <c r="H2">
        <v>0</v>
      </c>
    </row>
    <row r="3" spans="1:9" x14ac:dyDescent="0.2">
      <c r="A3">
        <v>7319</v>
      </c>
      <c r="B3" s="395">
        <v>43298</v>
      </c>
      <c r="C3" t="s">
        <v>105</v>
      </c>
      <c r="D3" t="s">
        <v>1101</v>
      </c>
      <c r="F3">
        <v>91.86</v>
      </c>
      <c r="G3">
        <v>0</v>
      </c>
      <c r="H3">
        <v>-91.86</v>
      </c>
    </row>
    <row r="4" spans="1:9" x14ac:dyDescent="0.2">
      <c r="A4">
        <v>7321</v>
      </c>
      <c r="B4" s="395">
        <v>43298</v>
      </c>
      <c r="C4" t="s">
        <v>427</v>
      </c>
      <c r="D4" t="s">
        <v>434</v>
      </c>
      <c r="F4">
        <v>41</v>
      </c>
      <c r="G4">
        <v>0</v>
      </c>
      <c r="H4">
        <v>-132.86000000000001</v>
      </c>
    </row>
    <row r="5" spans="1:9" x14ac:dyDescent="0.2">
      <c r="B5" s="395">
        <v>43298</v>
      </c>
      <c r="C5" t="s">
        <v>20</v>
      </c>
      <c r="D5" t="s">
        <v>21</v>
      </c>
      <c r="F5">
        <v>0</v>
      </c>
      <c r="G5">
        <v>324</v>
      </c>
      <c r="H5">
        <v>191.14</v>
      </c>
    </row>
    <row r="6" spans="1:9" x14ac:dyDescent="0.2">
      <c r="B6" s="395">
        <v>43298</v>
      </c>
      <c r="C6" t="s">
        <v>20</v>
      </c>
      <c r="D6" t="s">
        <v>21</v>
      </c>
      <c r="F6">
        <v>0</v>
      </c>
      <c r="G6">
        <v>107.65</v>
      </c>
      <c r="H6">
        <v>298.79000000000002</v>
      </c>
    </row>
    <row r="7" spans="1:9" x14ac:dyDescent="0.2">
      <c r="B7" s="395">
        <v>43298</v>
      </c>
      <c r="C7" t="s">
        <v>128</v>
      </c>
      <c r="D7" t="s">
        <v>129</v>
      </c>
      <c r="F7">
        <v>0</v>
      </c>
      <c r="G7">
        <v>50</v>
      </c>
      <c r="H7">
        <v>348.79</v>
      </c>
    </row>
    <row r="8" spans="1:9" x14ac:dyDescent="0.2">
      <c r="B8" s="395">
        <v>43298</v>
      </c>
      <c r="C8" t="s">
        <v>1102</v>
      </c>
      <c r="D8" t="s">
        <v>70</v>
      </c>
      <c r="F8">
        <v>0</v>
      </c>
      <c r="G8">
        <v>3771.48</v>
      </c>
      <c r="H8">
        <v>4120.2700000000004</v>
      </c>
    </row>
    <row r="9" spans="1:9" x14ac:dyDescent="0.2">
      <c r="B9" s="395">
        <v>43298</v>
      </c>
      <c r="C9" t="s">
        <v>26</v>
      </c>
      <c r="D9" t="s">
        <v>750</v>
      </c>
      <c r="F9">
        <v>0</v>
      </c>
      <c r="G9">
        <v>25</v>
      </c>
      <c r="H9">
        <v>4145.2700000000004</v>
      </c>
    </row>
    <row r="10" spans="1:9" x14ac:dyDescent="0.2">
      <c r="B10" s="395">
        <v>43298</v>
      </c>
      <c r="C10" t="s">
        <v>28</v>
      </c>
      <c r="D10" t="s">
        <v>29</v>
      </c>
      <c r="F10">
        <v>0</v>
      </c>
      <c r="G10">
        <v>32.85</v>
      </c>
      <c r="H10">
        <v>4178.12</v>
      </c>
    </row>
    <row r="11" spans="1:9" x14ac:dyDescent="0.2">
      <c r="B11" s="395">
        <v>43298</v>
      </c>
      <c r="C11" t="s">
        <v>28</v>
      </c>
      <c r="D11" t="s">
        <v>29</v>
      </c>
      <c r="F11">
        <v>0</v>
      </c>
      <c r="G11">
        <v>10.95</v>
      </c>
      <c r="H11">
        <v>4189.07</v>
      </c>
    </row>
    <row r="12" spans="1:9" x14ac:dyDescent="0.2">
      <c r="B12" s="395">
        <v>43298</v>
      </c>
      <c r="C12" t="s">
        <v>33</v>
      </c>
      <c r="D12" t="s">
        <v>37</v>
      </c>
      <c r="F12">
        <v>0</v>
      </c>
      <c r="G12">
        <v>30</v>
      </c>
      <c r="H12">
        <v>4219.07</v>
      </c>
    </row>
    <row r="13" spans="1:9" x14ac:dyDescent="0.2">
      <c r="B13" s="395">
        <v>43298</v>
      </c>
      <c r="C13" t="s">
        <v>39</v>
      </c>
      <c r="D13" t="s">
        <v>1103</v>
      </c>
      <c r="F13">
        <v>0</v>
      </c>
      <c r="G13">
        <v>10</v>
      </c>
      <c r="H13">
        <v>4229.07</v>
      </c>
    </row>
    <row r="14" spans="1:9" x14ac:dyDescent="0.2">
      <c r="B14" s="395">
        <v>43298</v>
      </c>
      <c r="C14" t="s">
        <v>682</v>
      </c>
      <c r="D14" t="s">
        <v>1104</v>
      </c>
      <c r="F14">
        <v>0</v>
      </c>
      <c r="G14">
        <v>583.5</v>
      </c>
      <c r="H14">
        <v>4812.57</v>
      </c>
    </row>
    <row r="15" spans="1:9" x14ac:dyDescent="0.2">
      <c r="B15" s="395">
        <v>43298</v>
      </c>
      <c r="C15" t="s">
        <v>682</v>
      </c>
      <c r="D15" t="s">
        <v>82</v>
      </c>
      <c r="F15">
        <v>0</v>
      </c>
      <c r="G15">
        <v>58.35</v>
      </c>
      <c r="H15">
        <v>4870.92</v>
      </c>
    </row>
    <row r="16" spans="1:9" x14ac:dyDescent="0.2">
      <c r="B16" s="395">
        <v>43298</v>
      </c>
      <c r="C16" t="s">
        <v>682</v>
      </c>
      <c r="D16" t="s">
        <v>1105</v>
      </c>
      <c r="F16">
        <v>0</v>
      </c>
      <c r="G16">
        <v>120</v>
      </c>
      <c r="H16">
        <v>4990.92</v>
      </c>
    </row>
    <row r="17" spans="1:8" x14ac:dyDescent="0.2">
      <c r="B17" s="395">
        <v>43298</v>
      </c>
      <c r="C17" t="s">
        <v>113</v>
      </c>
      <c r="D17" t="s">
        <v>97</v>
      </c>
      <c r="F17">
        <v>0</v>
      </c>
      <c r="G17">
        <v>52</v>
      </c>
      <c r="H17">
        <v>5042.92</v>
      </c>
    </row>
    <row r="18" spans="1:8" x14ac:dyDescent="0.2">
      <c r="A18">
        <v>7315</v>
      </c>
      <c r="B18" s="395">
        <v>43298</v>
      </c>
      <c r="C18" t="s">
        <v>190</v>
      </c>
      <c r="D18" t="s">
        <v>191</v>
      </c>
      <c r="F18">
        <v>504</v>
      </c>
      <c r="G18">
        <v>0</v>
      </c>
      <c r="H18">
        <v>4538.92</v>
      </c>
    </row>
    <row r="19" spans="1:8" x14ac:dyDescent="0.2">
      <c r="A19">
        <v>7316</v>
      </c>
      <c r="B19" s="395">
        <v>43298</v>
      </c>
      <c r="C19" t="s">
        <v>85</v>
      </c>
      <c r="D19" t="s">
        <v>86</v>
      </c>
      <c r="F19">
        <v>147.56</v>
      </c>
      <c r="G19">
        <v>0</v>
      </c>
      <c r="H19">
        <v>4391.3599999999997</v>
      </c>
    </row>
    <row r="20" spans="1:8" x14ac:dyDescent="0.2">
      <c r="A20">
        <v>7317</v>
      </c>
      <c r="B20" s="395">
        <v>43298</v>
      </c>
      <c r="C20" t="s">
        <v>51</v>
      </c>
      <c r="D20" t="s">
        <v>97</v>
      </c>
      <c r="F20">
        <v>28.89</v>
      </c>
      <c r="G20">
        <v>0</v>
      </c>
      <c r="H20">
        <v>4362.47</v>
      </c>
    </row>
    <row r="21" spans="1:8" x14ac:dyDescent="0.2">
      <c r="A21">
        <v>7318</v>
      </c>
      <c r="B21" s="395">
        <v>43298</v>
      </c>
      <c r="C21" t="s">
        <v>51</v>
      </c>
      <c r="D21" t="s">
        <v>97</v>
      </c>
      <c r="F21">
        <v>53.4</v>
      </c>
      <c r="G21">
        <v>0</v>
      </c>
      <c r="H21">
        <v>4309.07</v>
      </c>
    </row>
    <row r="22" spans="1:8" x14ac:dyDescent="0.2">
      <c r="A22">
        <v>7315</v>
      </c>
      <c r="B22" s="395">
        <v>43298</v>
      </c>
      <c r="C22" t="s">
        <v>197</v>
      </c>
      <c r="D22" t="s">
        <v>823</v>
      </c>
      <c r="F22">
        <v>6</v>
      </c>
      <c r="G22">
        <v>0</v>
      </c>
      <c r="H22">
        <v>4303.07</v>
      </c>
    </row>
    <row r="23" spans="1:8" x14ac:dyDescent="0.2">
      <c r="A23">
        <v>7314</v>
      </c>
      <c r="B23" s="395">
        <v>43298</v>
      </c>
      <c r="C23" t="s">
        <v>137</v>
      </c>
      <c r="D23" t="s">
        <v>1106</v>
      </c>
      <c r="F23">
        <v>1376</v>
      </c>
      <c r="G23">
        <v>0</v>
      </c>
      <c r="H23">
        <v>2927.07</v>
      </c>
    </row>
    <row r="24" spans="1:8" x14ac:dyDescent="0.2">
      <c r="A24">
        <v>7315</v>
      </c>
      <c r="B24" s="395">
        <v>43298</v>
      </c>
      <c r="C24" t="s">
        <v>137</v>
      </c>
      <c r="D24" t="s">
        <v>1107</v>
      </c>
      <c r="F24">
        <v>87.28</v>
      </c>
      <c r="G24">
        <v>0</v>
      </c>
      <c r="H24">
        <v>2839.79</v>
      </c>
    </row>
    <row r="25" spans="1:8" x14ac:dyDescent="0.2">
      <c r="A25">
        <v>7316</v>
      </c>
      <c r="B25" s="395">
        <v>43298</v>
      </c>
      <c r="C25" t="s">
        <v>137</v>
      </c>
      <c r="D25" t="s">
        <v>1108</v>
      </c>
      <c r="F25">
        <v>256.5</v>
      </c>
      <c r="G25">
        <v>0</v>
      </c>
      <c r="H25">
        <v>2583.29</v>
      </c>
    </row>
    <row r="26" spans="1:8" x14ac:dyDescent="0.2">
      <c r="A26">
        <v>7317</v>
      </c>
      <c r="B26" s="395">
        <v>43298</v>
      </c>
      <c r="C26" t="s">
        <v>57</v>
      </c>
      <c r="D26" t="s">
        <v>1104</v>
      </c>
      <c r="F26">
        <v>583.5</v>
      </c>
      <c r="G26">
        <v>0</v>
      </c>
      <c r="H26">
        <v>1999.79</v>
      </c>
    </row>
    <row r="27" spans="1:8" x14ac:dyDescent="0.2">
      <c r="A27">
        <v>7318</v>
      </c>
      <c r="B27" s="395">
        <v>43298</v>
      </c>
      <c r="C27" t="s">
        <v>100</v>
      </c>
      <c r="D27" t="s">
        <v>1109</v>
      </c>
      <c r="F27">
        <v>257.69</v>
      </c>
      <c r="G27">
        <v>0</v>
      </c>
      <c r="H27">
        <v>1742.1</v>
      </c>
    </row>
    <row r="28" spans="1:8" x14ac:dyDescent="0.2">
      <c r="A28">
        <v>7319</v>
      </c>
      <c r="B28" s="395">
        <v>43298</v>
      </c>
      <c r="C28" t="s">
        <v>100</v>
      </c>
      <c r="D28" t="s">
        <v>1110</v>
      </c>
      <c r="F28">
        <v>96.46</v>
      </c>
      <c r="G28">
        <v>0</v>
      </c>
      <c r="H28">
        <v>1645.64</v>
      </c>
    </row>
    <row r="29" spans="1:8" x14ac:dyDescent="0.2">
      <c r="A29">
        <v>7327</v>
      </c>
      <c r="B29" s="395">
        <v>43319</v>
      </c>
      <c r="C29" t="s">
        <v>124</v>
      </c>
      <c r="D29" t="s">
        <v>1111</v>
      </c>
      <c r="F29">
        <v>306.41000000000003</v>
      </c>
      <c r="G29">
        <v>0</v>
      </c>
      <c r="H29">
        <v>1339.23</v>
      </c>
    </row>
    <row r="30" spans="1:8" x14ac:dyDescent="0.2">
      <c r="B30" s="395">
        <v>43319</v>
      </c>
      <c r="C30" t="s">
        <v>20</v>
      </c>
      <c r="D30" t="s">
        <v>21</v>
      </c>
      <c r="F30">
        <v>0</v>
      </c>
      <c r="G30">
        <v>107.67</v>
      </c>
      <c r="H30">
        <v>1446.9</v>
      </c>
    </row>
    <row r="31" spans="1:8" x14ac:dyDescent="0.2">
      <c r="B31" s="395">
        <v>43319</v>
      </c>
      <c r="C31" t="s">
        <v>26</v>
      </c>
      <c r="D31" t="s">
        <v>750</v>
      </c>
      <c r="F31">
        <v>0</v>
      </c>
      <c r="G31">
        <v>46</v>
      </c>
      <c r="H31">
        <v>1492.9</v>
      </c>
    </row>
    <row r="32" spans="1:8" x14ac:dyDescent="0.2">
      <c r="B32" s="395">
        <v>43319</v>
      </c>
      <c r="C32" t="s">
        <v>28</v>
      </c>
      <c r="D32" t="s">
        <v>29</v>
      </c>
      <c r="F32">
        <v>0</v>
      </c>
      <c r="G32">
        <v>10.95</v>
      </c>
      <c r="H32">
        <v>1503.85</v>
      </c>
    </row>
    <row r="33" spans="1:8" x14ac:dyDescent="0.2">
      <c r="B33" s="395">
        <v>43319</v>
      </c>
      <c r="C33" t="s">
        <v>33</v>
      </c>
      <c r="D33" t="s">
        <v>37</v>
      </c>
      <c r="F33">
        <v>0</v>
      </c>
      <c r="G33">
        <v>41</v>
      </c>
      <c r="H33">
        <v>1544.85</v>
      </c>
    </row>
    <row r="34" spans="1:8" x14ac:dyDescent="0.2">
      <c r="B34" s="395">
        <v>43319</v>
      </c>
      <c r="C34" t="s">
        <v>39</v>
      </c>
      <c r="D34" t="s">
        <v>73</v>
      </c>
      <c r="F34">
        <v>0</v>
      </c>
      <c r="G34">
        <v>35</v>
      </c>
      <c r="H34">
        <v>1579.85</v>
      </c>
    </row>
    <row r="35" spans="1:8" x14ac:dyDescent="0.2">
      <c r="B35" s="395">
        <v>43319</v>
      </c>
      <c r="C35" t="s">
        <v>682</v>
      </c>
      <c r="D35" t="s">
        <v>1104</v>
      </c>
      <c r="F35">
        <v>0</v>
      </c>
      <c r="G35">
        <v>267.41000000000003</v>
      </c>
      <c r="H35">
        <v>1847.26</v>
      </c>
    </row>
    <row r="36" spans="1:8" x14ac:dyDescent="0.2">
      <c r="B36" s="395">
        <v>43319</v>
      </c>
      <c r="C36" t="s">
        <v>682</v>
      </c>
      <c r="D36" t="s">
        <v>82</v>
      </c>
      <c r="F36">
        <v>0</v>
      </c>
      <c r="G36">
        <v>0</v>
      </c>
      <c r="H36">
        <v>1847.26</v>
      </c>
    </row>
    <row r="37" spans="1:8" x14ac:dyDescent="0.2">
      <c r="B37" s="395">
        <v>43319</v>
      </c>
      <c r="C37" t="s">
        <v>113</v>
      </c>
      <c r="D37" t="s">
        <v>97</v>
      </c>
      <c r="F37">
        <v>0</v>
      </c>
      <c r="G37">
        <v>52.75</v>
      </c>
      <c r="H37">
        <v>1900.01</v>
      </c>
    </row>
    <row r="38" spans="1:8" x14ac:dyDescent="0.2">
      <c r="A38">
        <v>7331</v>
      </c>
      <c r="B38" s="395">
        <v>43319</v>
      </c>
      <c r="C38" t="s">
        <v>1112</v>
      </c>
      <c r="D38" t="s">
        <v>628</v>
      </c>
      <c r="F38">
        <v>750</v>
      </c>
      <c r="G38">
        <v>0</v>
      </c>
      <c r="H38">
        <v>1150.01</v>
      </c>
    </row>
    <row r="39" spans="1:8" x14ac:dyDescent="0.2">
      <c r="A39">
        <v>7326</v>
      </c>
      <c r="B39" s="395">
        <v>43319</v>
      </c>
      <c r="C39" t="s">
        <v>51</v>
      </c>
      <c r="D39" t="s">
        <v>97</v>
      </c>
      <c r="F39">
        <v>8.49</v>
      </c>
      <c r="G39">
        <v>0</v>
      </c>
      <c r="H39">
        <v>1141.52</v>
      </c>
    </row>
    <row r="40" spans="1:8" x14ac:dyDescent="0.2">
      <c r="A40">
        <v>7327</v>
      </c>
      <c r="B40" s="395">
        <v>43319</v>
      </c>
      <c r="C40" t="s">
        <v>51</v>
      </c>
      <c r="D40" t="s">
        <v>97</v>
      </c>
      <c r="F40">
        <v>116.14</v>
      </c>
      <c r="G40">
        <v>0</v>
      </c>
      <c r="H40">
        <v>1025.3800000000001</v>
      </c>
    </row>
    <row r="41" spans="1:8" x14ac:dyDescent="0.2">
      <c r="A41">
        <v>7329</v>
      </c>
      <c r="B41" s="395">
        <v>43319</v>
      </c>
      <c r="C41" t="s">
        <v>205</v>
      </c>
      <c r="D41" t="s">
        <v>1113</v>
      </c>
      <c r="F41">
        <v>100</v>
      </c>
      <c r="G41">
        <v>0</v>
      </c>
      <c r="H41">
        <v>925.38</v>
      </c>
    </row>
    <row r="42" spans="1:8" x14ac:dyDescent="0.2">
      <c r="A42">
        <v>7325</v>
      </c>
      <c r="B42" s="395">
        <v>43319</v>
      </c>
      <c r="C42" t="s">
        <v>57</v>
      </c>
      <c r="D42" t="s">
        <v>1104</v>
      </c>
      <c r="F42">
        <v>267.41000000000003</v>
      </c>
      <c r="G42">
        <v>0</v>
      </c>
      <c r="H42">
        <v>657.97</v>
      </c>
    </row>
    <row r="43" spans="1:8" x14ac:dyDescent="0.2">
      <c r="A43">
        <v>7328</v>
      </c>
      <c r="B43" s="395">
        <v>43319</v>
      </c>
      <c r="C43" t="s">
        <v>57</v>
      </c>
      <c r="D43" t="s">
        <v>1114</v>
      </c>
      <c r="F43">
        <v>83.68</v>
      </c>
      <c r="G43">
        <v>0</v>
      </c>
      <c r="H43">
        <v>574.29</v>
      </c>
    </row>
    <row r="44" spans="1:8" x14ac:dyDescent="0.2">
      <c r="A44">
        <v>7330</v>
      </c>
      <c r="B44" s="395">
        <v>43319</v>
      </c>
      <c r="C44" t="s">
        <v>215</v>
      </c>
      <c r="D44" t="s">
        <v>1115</v>
      </c>
      <c r="F44">
        <v>2077.6</v>
      </c>
      <c r="G44">
        <v>0</v>
      </c>
      <c r="H44">
        <v>-1503.31</v>
      </c>
    </row>
    <row r="45" spans="1:8" x14ac:dyDescent="0.2">
      <c r="A45">
        <v>7328</v>
      </c>
      <c r="B45" s="395">
        <v>43319</v>
      </c>
      <c r="C45" t="s">
        <v>100</v>
      </c>
      <c r="D45" t="s">
        <v>1109</v>
      </c>
      <c r="F45">
        <v>20.68</v>
      </c>
      <c r="G45">
        <v>0</v>
      </c>
      <c r="H45">
        <v>-1523.99</v>
      </c>
    </row>
    <row r="46" spans="1:8" x14ac:dyDescent="0.2">
      <c r="B46" s="395">
        <v>43347</v>
      </c>
      <c r="C46" t="s">
        <v>20</v>
      </c>
      <c r="D46" t="s">
        <v>671</v>
      </c>
      <c r="F46">
        <v>0</v>
      </c>
      <c r="G46">
        <v>111.497125</v>
      </c>
      <c r="H46">
        <v>-1412.4928749999999</v>
      </c>
    </row>
    <row r="47" spans="1:8" x14ac:dyDescent="0.2">
      <c r="B47" s="395">
        <v>43347</v>
      </c>
      <c r="C47" t="s">
        <v>23</v>
      </c>
      <c r="D47" t="s">
        <v>649</v>
      </c>
      <c r="F47">
        <v>0</v>
      </c>
      <c r="G47">
        <v>11.98</v>
      </c>
      <c r="H47">
        <v>-1400.5128749999999</v>
      </c>
    </row>
    <row r="48" spans="1:8" x14ac:dyDescent="0.2">
      <c r="B48" s="395">
        <v>43347</v>
      </c>
      <c r="C48" t="s">
        <v>151</v>
      </c>
      <c r="D48" t="s">
        <v>152</v>
      </c>
      <c r="F48">
        <v>0</v>
      </c>
      <c r="G48">
        <v>110</v>
      </c>
      <c r="H48">
        <v>-1290.5128749999999</v>
      </c>
    </row>
    <row r="49" spans="1:8" x14ac:dyDescent="0.2">
      <c r="B49" s="395">
        <v>43347</v>
      </c>
      <c r="C49" t="s">
        <v>26</v>
      </c>
      <c r="D49" t="s">
        <v>27</v>
      </c>
      <c r="F49">
        <v>0</v>
      </c>
      <c r="G49">
        <v>10</v>
      </c>
      <c r="H49">
        <v>-1280.5128749999999</v>
      </c>
    </row>
    <row r="50" spans="1:8" x14ac:dyDescent="0.2">
      <c r="B50" s="395">
        <v>43347</v>
      </c>
      <c r="C50" t="s">
        <v>155</v>
      </c>
      <c r="D50" t="s">
        <v>157</v>
      </c>
      <c r="F50">
        <v>0</v>
      </c>
      <c r="G50">
        <v>586</v>
      </c>
      <c r="H50">
        <v>-694.51287500000001</v>
      </c>
    </row>
    <row r="51" spans="1:8" x14ac:dyDescent="0.2">
      <c r="B51" s="395">
        <v>43347</v>
      </c>
      <c r="C51" t="s">
        <v>33</v>
      </c>
      <c r="D51" t="s">
        <v>37</v>
      </c>
      <c r="F51">
        <v>0</v>
      </c>
      <c r="G51">
        <v>39</v>
      </c>
      <c r="H51">
        <v>-655.51287500000001</v>
      </c>
    </row>
    <row r="52" spans="1:8" x14ac:dyDescent="0.2">
      <c r="B52" s="395">
        <v>43347</v>
      </c>
      <c r="C52" t="s">
        <v>682</v>
      </c>
      <c r="D52" t="s">
        <v>82</v>
      </c>
      <c r="F52">
        <v>0</v>
      </c>
      <c r="G52">
        <v>102.11</v>
      </c>
      <c r="H52">
        <v>-553.40287499999999</v>
      </c>
    </row>
    <row r="53" spans="1:8" x14ac:dyDescent="0.2">
      <c r="B53" s="395">
        <v>43347</v>
      </c>
      <c r="C53" t="s">
        <v>113</v>
      </c>
      <c r="D53" t="s">
        <v>114</v>
      </c>
      <c r="F53">
        <v>0</v>
      </c>
      <c r="G53">
        <v>97</v>
      </c>
      <c r="H53">
        <v>-456.40287499999999</v>
      </c>
    </row>
    <row r="54" spans="1:8" x14ac:dyDescent="0.2">
      <c r="A54">
        <v>7342</v>
      </c>
      <c r="B54" s="395">
        <v>43347</v>
      </c>
      <c r="C54" t="s">
        <v>178</v>
      </c>
      <c r="D54" t="s">
        <v>475</v>
      </c>
      <c r="F54">
        <v>7500</v>
      </c>
      <c r="G54">
        <v>0</v>
      </c>
      <c r="H54">
        <v>-7956.4028749999998</v>
      </c>
    </row>
    <row r="55" spans="1:8" x14ac:dyDescent="0.2">
      <c r="A55">
        <v>7344</v>
      </c>
      <c r="B55" s="395">
        <v>43347</v>
      </c>
      <c r="C55" t="s">
        <v>180</v>
      </c>
      <c r="D55" t="s">
        <v>1116</v>
      </c>
      <c r="F55">
        <v>300</v>
      </c>
      <c r="G55">
        <v>0</v>
      </c>
      <c r="H55">
        <v>-8256.4028749999998</v>
      </c>
    </row>
    <row r="56" spans="1:8" x14ac:dyDescent="0.2">
      <c r="A56">
        <v>7341</v>
      </c>
      <c r="B56" s="395">
        <v>43347</v>
      </c>
      <c r="C56" t="s">
        <v>1117</v>
      </c>
      <c r="D56" t="s">
        <v>637</v>
      </c>
      <c r="F56">
        <v>250</v>
      </c>
      <c r="G56">
        <v>0</v>
      </c>
      <c r="H56">
        <v>-8506.4028749999998</v>
      </c>
    </row>
    <row r="57" spans="1:8" x14ac:dyDescent="0.2">
      <c r="A57">
        <v>7332</v>
      </c>
      <c r="B57" s="395">
        <v>43347</v>
      </c>
      <c r="C57" t="s">
        <v>85</v>
      </c>
      <c r="D57" t="s">
        <v>86</v>
      </c>
      <c r="F57">
        <v>45.72</v>
      </c>
      <c r="G57">
        <v>0</v>
      </c>
      <c r="H57">
        <v>-8552.1228749999991</v>
      </c>
    </row>
    <row r="58" spans="1:8" x14ac:dyDescent="0.2">
      <c r="A58">
        <v>7334</v>
      </c>
      <c r="B58" s="395">
        <v>43347</v>
      </c>
      <c r="C58" t="s">
        <v>51</v>
      </c>
      <c r="D58" t="s">
        <v>97</v>
      </c>
      <c r="F58">
        <v>53.4</v>
      </c>
      <c r="G58">
        <v>0</v>
      </c>
      <c r="H58">
        <v>-8605.5228750000006</v>
      </c>
    </row>
    <row r="59" spans="1:8" x14ac:dyDescent="0.2">
      <c r="A59">
        <v>7339</v>
      </c>
      <c r="B59" s="395">
        <v>43347</v>
      </c>
      <c r="C59" t="s">
        <v>51</v>
      </c>
      <c r="D59" t="s">
        <v>97</v>
      </c>
      <c r="F59">
        <v>27.99</v>
      </c>
      <c r="G59">
        <v>0</v>
      </c>
      <c r="H59">
        <v>-8633.5128750000003</v>
      </c>
    </row>
    <row r="60" spans="1:8" x14ac:dyDescent="0.2">
      <c r="A60">
        <v>7340</v>
      </c>
      <c r="B60" s="395">
        <v>43347</v>
      </c>
      <c r="C60" t="s">
        <v>51</v>
      </c>
      <c r="D60" t="s">
        <v>97</v>
      </c>
      <c r="F60">
        <v>111.47</v>
      </c>
      <c r="G60">
        <v>0</v>
      </c>
      <c r="H60">
        <v>-8744.9828749999997</v>
      </c>
    </row>
    <row r="61" spans="1:8" x14ac:dyDescent="0.2">
      <c r="A61">
        <v>7343</v>
      </c>
      <c r="B61" s="395">
        <v>43347</v>
      </c>
      <c r="C61" t="s">
        <v>203</v>
      </c>
      <c r="D61" t="s">
        <v>1118</v>
      </c>
      <c r="F61">
        <v>2203</v>
      </c>
      <c r="G61">
        <v>0</v>
      </c>
      <c r="H61">
        <v>-10947.982875</v>
      </c>
    </row>
    <row r="62" spans="1:8" x14ac:dyDescent="0.2">
      <c r="A62">
        <v>7333</v>
      </c>
      <c r="B62" s="395">
        <v>43347</v>
      </c>
      <c r="C62" t="s">
        <v>57</v>
      </c>
      <c r="D62" t="s">
        <v>1104</v>
      </c>
      <c r="F62">
        <v>97.24</v>
      </c>
      <c r="G62">
        <v>0</v>
      </c>
      <c r="H62">
        <v>-11045.222874999999</v>
      </c>
    </row>
    <row r="63" spans="1:8" x14ac:dyDescent="0.2">
      <c r="A63">
        <v>7335</v>
      </c>
      <c r="B63" s="395">
        <v>43347</v>
      </c>
      <c r="C63" t="s">
        <v>57</v>
      </c>
      <c r="D63" t="s">
        <v>1119</v>
      </c>
      <c r="F63">
        <v>378.16</v>
      </c>
      <c r="G63">
        <v>0</v>
      </c>
      <c r="H63">
        <v>-11423.382874999999</v>
      </c>
    </row>
    <row r="64" spans="1:8" x14ac:dyDescent="0.2">
      <c r="A64">
        <v>7336</v>
      </c>
      <c r="B64" s="395">
        <v>43347</v>
      </c>
      <c r="C64" t="s">
        <v>57</v>
      </c>
      <c r="D64" t="s">
        <v>1119</v>
      </c>
      <c r="F64">
        <v>174.61</v>
      </c>
      <c r="G64">
        <v>0</v>
      </c>
      <c r="H64">
        <v>-11597.992875</v>
      </c>
    </row>
    <row r="65" spans="1:8" x14ac:dyDescent="0.2">
      <c r="A65">
        <v>7337</v>
      </c>
      <c r="B65" s="395">
        <v>43347</v>
      </c>
      <c r="C65" t="s">
        <v>57</v>
      </c>
      <c r="D65" t="s">
        <v>1120</v>
      </c>
      <c r="F65">
        <v>199.1</v>
      </c>
      <c r="G65">
        <v>0</v>
      </c>
      <c r="H65">
        <v>-11797.092875</v>
      </c>
    </row>
    <row r="66" spans="1:8" x14ac:dyDescent="0.2">
      <c r="A66">
        <v>7338</v>
      </c>
      <c r="B66" s="395">
        <v>43347</v>
      </c>
      <c r="C66" t="s">
        <v>100</v>
      </c>
      <c r="D66" t="s">
        <v>1109</v>
      </c>
      <c r="F66">
        <v>24.8</v>
      </c>
      <c r="G66">
        <v>0</v>
      </c>
      <c r="H66">
        <v>-11821.892875</v>
      </c>
    </row>
    <row r="67" spans="1:8" x14ac:dyDescent="0.2">
      <c r="A67">
        <v>7345</v>
      </c>
      <c r="B67" s="395">
        <v>43361</v>
      </c>
      <c r="C67" t="s">
        <v>16</v>
      </c>
      <c r="D67" t="s">
        <v>17</v>
      </c>
      <c r="F67">
        <v>95</v>
      </c>
      <c r="G67">
        <v>0</v>
      </c>
      <c r="H67">
        <v>-11916.892875</v>
      </c>
    </row>
    <row r="68" spans="1:8" x14ac:dyDescent="0.2">
      <c r="B68" s="395">
        <v>43361</v>
      </c>
      <c r="C68" t="s">
        <v>20</v>
      </c>
      <c r="D68" t="s">
        <v>671</v>
      </c>
      <c r="F68">
        <v>0</v>
      </c>
      <c r="G68">
        <v>36</v>
      </c>
      <c r="H68">
        <v>-11880.892875</v>
      </c>
    </row>
    <row r="69" spans="1:8" x14ac:dyDescent="0.2">
      <c r="B69" s="395">
        <v>43361</v>
      </c>
      <c r="C69" t="s">
        <v>151</v>
      </c>
      <c r="D69" t="s">
        <v>152</v>
      </c>
      <c r="F69">
        <v>0</v>
      </c>
      <c r="G69">
        <v>290</v>
      </c>
      <c r="H69">
        <v>-11590.892875</v>
      </c>
    </row>
    <row r="70" spans="1:8" x14ac:dyDescent="0.2">
      <c r="B70" s="395">
        <v>43361</v>
      </c>
      <c r="C70" t="s">
        <v>26</v>
      </c>
      <c r="D70" t="s">
        <v>27</v>
      </c>
      <c r="F70">
        <v>0</v>
      </c>
      <c r="G70">
        <v>46</v>
      </c>
      <c r="H70">
        <v>-11544.892875</v>
      </c>
    </row>
    <row r="71" spans="1:8" x14ac:dyDescent="0.2">
      <c r="B71" s="395">
        <v>43361</v>
      </c>
      <c r="C71" t="s">
        <v>28</v>
      </c>
      <c r="D71" t="s">
        <v>31</v>
      </c>
      <c r="F71">
        <v>0</v>
      </c>
      <c r="G71">
        <v>3.65</v>
      </c>
      <c r="H71">
        <v>-11541.242875</v>
      </c>
    </row>
    <row r="72" spans="1:8" x14ac:dyDescent="0.2">
      <c r="B72" s="395">
        <v>43361</v>
      </c>
      <c r="C72" t="s">
        <v>33</v>
      </c>
      <c r="D72" t="s">
        <v>37</v>
      </c>
      <c r="F72">
        <v>0</v>
      </c>
      <c r="G72">
        <v>64</v>
      </c>
      <c r="H72">
        <v>-11477.242875</v>
      </c>
    </row>
    <row r="73" spans="1:8" x14ac:dyDescent="0.2">
      <c r="B73" s="395">
        <v>43361</v>
      </c>
      <c r="C73" t="s">
        <v>39</v>
      </c>
      <c r="D73" t="s">
        <v>73</v>
      </c>
      <c r="F73">
        <v>0</v>
      </c>
      <c r="G73">
        <v>100</v>
      </c>
      <c r="H73">
        <v>-11377.242875</v>
      </c>
    </row>
    <row r="74" spans="1:8" x14ac:dyDescent="0.2">
      <c r="B74" s="395">
        <v>43361</v>
      </c>
      <c r="C74" t="s">
        <v>682</v>
      </c>
      <c r="D74" t="s">
        <v>45</v>
      </c>
      <c r="F74">
        <v>0</v>
      </c>
      <c r="G74">
        <v>97.24</v>
      </c>
      <c r="H74">
        <v>-11280.002875</v>
      </c>
    </row>
    <row r="75" spans="1:8" x14ac:dyDescent="0.2">
      <c r="B75" s="395">
        <v>43361</v>
      </c>
      <c r="C75" t="s">
        <v>682</v>
      </c>
      <c r="D75" t="s">
        <v>1121</v>
      </c>
      <c r="F75">
        <v>0</v>
      </c>
      <c r="G75">
        <v>95</v>
      </c>
      <c r="H75">
        <v>-11185.002875</v>
      </c>
    </row>
    <row r="76" spans="1:8" x14ac:dyDescent="0.2">
      <c r="B76" s="395">
        <v>43361</v>
      </c>
      <c r="C76" t="s">
        <v>113</v>
      </c>
      <c r="D76" t="s">
        <v>114</v>
      </c>
      <c r="F76">
        <v>0</v>
      </c>
      <c r="G76">
        <v>87</v>
      </c>
      <c r="H76">
        <v>-11098.002875</v>
      </c>
    </row>
    <row r="77" spans="1:8" x14ac:dyDescent="0.2">
      <c r="A77">
        <v>7346</v>
      </c>
      <c r="B77" s="395">
        <v>43361</v>
      </c>
      <c r="C77" t="s">
        <v>85</v>
      </c>
      <c r="D77" t="s">
        <v>86</v>
      </c>
      <c r="F77">
        <v>46.35</v>
      </c>
      <c r="G77">
        <v>0</v>
      </c>
      <c r="H77">
        <v>-11144.352875</v>
      </c>
    </row>
    <row r="78" spans="1:8" x14ac:dyDescent="0.2">
      <c r="A78">
        <v>7348</v>
      </c>
      <c r="B78" s="395">
        <v>43361</v>
      </c>
      <c r="C78" t="s">
        <v>54</v>
      </c>
      <c r="D78" t="s">
        <v>1122</v>
      </c>
      <c r="F78">
        <v>205</v>
      </c>
      <c r="G78">
        <v>0</v>
      </c>
      <c r="H78">
        <v>-11349.352875</v>
      </c>
    </row>
    <row r="79" spans="1:8" x14ac:dyDescent="0.2">
      <c r="A79">
        <v>7347</v>
      </c>
      <c r="B79" s="395">
        <v>43361</v>
      </c>
      <c r="C79" t="s">
        <v>57</v>
      </c>
      <c r="D79" t="s">
        <v>1123</v>
      </c>
      <c r="F79">
        <v>1660</v>
      </c>
      <c r="G79">
        <v>0</v>
      </c>
      <c r="H79">
        <v>-13009.352875</v>
      </c>
    </row>
    <row r="80" spans="1:8" x14ac:dyDescent="0.2">
      <c r="A80">
        <v>7356</v>
      </c>
      <c r="B80" s="395">
        <v>43375</v>
      </c>
      <c r="C80" t="s">
        <v>68</v>
      </c>
      <c r="D80" t="s">
        <v>1124</v>
      </c>
      <c r="F80">
        <v>1730.81</v>
      </c>
      <c r="G80">
        <v>0</v>
      </c>
      <c r="H80">
        <v>-14740.162875</v>
      </c>
    </row>
    <row r="81" spans="1:8" x14ac:dyDescent="0.2">
      <c r="B81" s="395">
        <v>43375</v>
      </c>
      <c r="C81" t="s">
        <v>20</v>
      </c>
      <c r="D81" t="s">
        <v>671</v>
      </c>
      <c r="F81">
        <v>0</v>
      </c>
      <c r="G81">
        <v>36</v>
      </c>
      <c r="H81">
        <v>-14704.162875</v>
      </c>
    </row>
    <row r="82" spans="1:8" x14ac:dyDescent="0.2">
      <c r="B82" s="395">
        <v>43375</v>
      </c>
      <c r="C82" t="s">
        <v>151</v>
      </c>
      <c r="D82" t="s">
        <v>152</v>
      </c>
      <c r="F82">
        <v>0</v>
      </c>
      <c r="G82">
        <v>550</v>
      </c>
      <c r="H82">
        <v>-14154.162875</v>
      </c>
    </row>
    <row r="83" spans="1:8" x14ac:dyDescent="0.2">
      <c r="B83" s="395">
        <v>43375</v>
      </c>
      <c r="C83" t="s">
        <v>26</v>
      </c>
      <c r="D83" t="s">
        <v>27</v>
      </c>
      <c r="F83">
        <v>0</v>
      </c>
      <c r="G83">
        <v>66</v>
      </c>
      <c r="H83">
        <v>-14088.162875</v>
      </c>
    </row>
    <row r="84" spans="1:8" x14ac:dyDescent="0.2">
      <c r="B84" s="395">
        <v>43375</v>
      </c>
      <c r="C84" t="s">
        <v>28</v>
      </c>
      <c r="D84" t="s">
        <v>31</v>
      </c>
      <c r="F84">
        <v>0</v>
      </c>
      <c r="G84">
        <v>3.65</v>
      </c>
      <c r="H84">
        <v>-14084.512875</v>
      </c>
    </row>
    <row r="85" spans="1:8" x14ac:dyDescent="0.2">
      <c r="B85" s="395">
        <v>43375</v>
      </c>
      <c r="C85" t="s">
        <v>33</v>
      </c>
      <c r="D85" t="s">
        <v>37</v>
      </c>
      <c r="F85">
        <v>0</v>
      </c>
      <c r="G85">
        <v>64</v>
      </c>
      <c r="H85">
        <v>-14020.512875</v>
      </c>
    </row>
    <row r="86" spans="1:8" x14ac:dyDescent="0.2">
      <c r="B86" s="395">
        <v>43375</v>
      </c>
      <c r="C86" t="s">
        <v>39</v>
      </c>
      <c r="D86" t="s">
        <v>73</v>
      </c>
      <c r="F86">
        <v>0</v>
      </c>
      <c r="G86">
        <v>100</v>
      </c>
      <c r="H86">
        <v>-13920.512875</v>
      </c>
    </row>
    <row r="87" spans="1:8" x14ac:dyDescent="0.2">
      <c r="B87" s="395">
        <v>43375</v>
      </c>
      <c r="C87" t="s">
        <v>39</v>
      </c>
      <c r="D87" t="s">
        <v>40</v>
      </c>
      <c r="F87">
        <v>0</v>
      </c>
      <c r="G87">
        <v>0.35</v>
      </c>
      <c r="H87">
        <v>-13920.162875</v>
      </c>
    </row>
    <row r="88" spans="1:8" x14ac:dyDescent="0.2">
      <c r="B88" s="395">
        <v>43375</v>
      </c>
      <c r="C88" t="s">
        <v>113</v>
      </c>
      <c r="D88" t="s">
        <v>114</v>
      </c>
      <c r="F88">
        <v>0</v>
      </c>
      <c r="G88">
        <v>136</v>
      </c>
      <c r="H88">
        <v>-13784.162875</v>
      </c>
    </row>
    <row r="89" spans="1:8" x14ac:dyDescent="0.2">
      <c r="A89">
        <v>7349</v>
      </c>
      <c r="B89" s="395">
        <v>43375</v>
      </c>
      <c r="C89" t="s">
        <v>533</v>
      </c>
      <c r="D89" t="s">
        <v>1125</v>
      </c>
      <c r="F89">
        <v>421</v>
      </c>
      <c r="G89">
        <v>0</v>
      </c>
      <c r="H89">
        <v>-14205.162875</v>
      </c>
    </row>
    <row r="90" spans="1:8" x14ac:dyDescent="0.2">
      <c r="A90">
        <v>7350</v>
      </c>
      <c r="B90" s="395">
        <v>43375</v>
      </c>
      <c r="C90" t="s">
        <v>537</v>
      </c>
      <c r="D90" t="s">
        <v>52</v>
      </c>
      <c r="F90">
        <v>11.35</v>
      </c>
      <c r="G90">
        <v>0</v>
      </c>
      <c r="H90">
        <v>-14216.512875</v>
      </c>
    </row>
    <row r="91" spans="1:8" x14ac:dyDescent="0.2">
      <c r="A91">
        <v>7353</v>
      </c>
      <c r="B91" s="395">
        <v>43375</v>
      </c>
      <c r="C91" t="s">
        <v>51</v>
      </c>
      <c r="D91" t="s">
        <v>97</v>
      </c>
      <c r="F91">
        <v>92.04</v>
      </c>
      <c r="G91">
        <v>0</v>
      </c>
      <c r="H91">
        <v>-14308.552874999999</v>
      </c>
    </row>
    <row r="92" spans="1:8" x14ac:dyDescent="0.2">
      <c r="A92">
        <v>7357</v>
      </c>
      <c r="B92" s="395">
        <v>43375</v>
      </c>
      <c r="C92" t="s">
        <v>171</v>
      </c>
      <c r="D92" t="s">
        <v>1126</v>
      </c>
      <c r="F92">
        <v>736</v>
      </c>
      <c r="G92">
        <v>0</v>
      </c>
      <c r="H92">
        <v>-15044.552874999999</v>
      </c>
    </row>
    <row r="93" spans="1:8" x14ac:dyDescent="0.2">
      <c r="A93">
        <v>7351</v>
      </c>
      <c r="B93" s="395">
        <v>43375</v>
      </c>
      <c r="C93" t="s">
        <v>57</v>
      </c>
      <c r="D93" t="s">
        <v>1127</v>
      </c>
      <c r="F93">
        <v>26.6</v>
      </c>
      <c r="G93">
        <v>0</v>
      </c>
      <c r="H93">
        <v>-15071.152875</v>
      </c>
    </row>
    <row r="94" spans="1:8" x14ac:dyDescent="0.2">
      <c r="A94">
        <v>7352</v>
      </c>
      <c r="B94" s="395">
        <v>43375</v>
      </c>
      <c r="C94" t="s">
        <v>57</v>
      </c>
      <c r="D94" t="s">
        <v>1128</v>
      </c>
      <c r="F94">
        <v>50</v>
      </c>
      <c r="G94">
        <v>0</v>
      </c>
      <c r="H94">
        <v>-15121.152875</v>
      </c>
    </row>
    <row r="95" spans="1:8" x14ac:dyDescent="0.2">
      <c r="A95">
        <v>7355</v>
      </c>
      <c r="B95" s="395">
        <v>43375</v>
      </c>
      <c r="C95" t="s">
        <v>57</v>
      </c>
      <c r="D95" t="s">
        <v>1129</v>
      </c>
      <c r="F95">
        <v>123.7</v>
      </c>
      <c r="G95">
        <v>0</v>
      </c>
      <c r="H95">
        <v>-15244.852875</v>
      </c>
    </row>
    <row r="96" spans="1:8" x14ac:dyDescent="0.2">
      <c r="A96">
        <v>7354</v>
      </c>
      <c r="B96" s="395">
        <v>43375</v>
      </c>
      <c r="C96" t="s">
        <v>100</v>
      </c>
      <c r="D96" t="s">
        <v>1109</v>
      </c>
      <c r="F96">
        <v>49.74</v>
      </c>
      <c r="G96">
        <v>0</v>
      </c>
      <c r="H96">
        <v>-15294.592875</v>
      </c>
    </row>
    <row r="97" spans="1:8" x14ac:dyDescent="0.2">
      <c r="A97">
        <v>7361</v>
      </c>
      <c r="B97" s="395">
        <v>43389</v>
      </c>
      <c r="C97" t="s">
        <v>16</v>
      </c>
      <c r="D97" t="s">
        <v>17</v>
      </c>
      <c r="F97">
        <v>406.72</v>
      </c>
      <c r="G97">
        <v>0</v>
      </c>
      <c r="H97">
        <v>-15701.312875</v>
      </c>
    </row>
    <row r="98" spans="1:8" x14ac:dyDescent="0.2">
      <c r="A98">
        <v>7362</v>
      </c>
      <c r="B98" s="395">
        <v>43389</v>
      </c>
      <c r="C98" t="s">
        <v>107</v>
      </c>
      <c r="D98" t="s">
        <v>108</v>
      </c>
      <c r="F98">
        <v>423.06</v>
      </c>
      <c r="G98">
        <v>0</v>
      </c>
      <c r="H98">
        <v>-16124.372874999999</v>
      </c>
    </row>
    <row r="99" spans="1:8" x14ac:dyDescent="0.2">
      <c r="B99" s="395">
        <v>43389</v>
      </c>
      <c r="C99" t="s">
        <v>20</v>
      </c>
      <c r="D99" t="s">
        <v>671</v>
      </c>
      <c r="F99">
        <v>0</v>
      </c>
      <c r="G99">
        <v>36</v>
      </c>
      <c r="H99">
        <v>-16088.372874999999</v>
      </c>
    </row>
    <row r="100" spans="1:8" x14ac:dyDescent="0.2">
      <c r="B100" s="395">
        <v>43389</v>
      </c>
      <c r="C100" t="s">
        <v>20</v>
      </c>
      <c r="D100" t="s">
        <v>671</v>
      </c>
      <c r="F100">
        <v>0</v>
      </c>
      <c r="G100">
        <v>90</v>
      </c>
      <c r="H100">
        <v>-15998.372874999999</v>
      </c>
    </row>
    <row r="101" spans="1:8" x14ac:dyDescent="0.2">
      <c r="B101" s="395">
        <v>43389</v>
      </c>
      <c r="C101" t="s">
        <v>20</v>
      </c>
      <c r="D101" t="s">
        <v>31</v>
      </c>
      <c r="F101">
        <v>0</v>
      </c>
      <c r="G101">
        <v>10.95</v>
      </c>
      <c r="H101">
        <v>-15987.422875</v>
      </c>
    </row>
    <row r="102" spans="1:8" x14ac:dyDescent="0.2">
      <c r="B102" s="395">
        <v>43389</v>
      </c>
      <c r="C102" t="s">
        <v>23</v>
      </c>
      <c r="D102" t="s">
        <v>649</v>
      </c>
      <c r="F102">
        <v>0</v>
      </c>
      <c r="G102">
        <v>760.3</v>
      </c>
      <c r="H102">
        <v>-15227.122874999999</v>
      </c>
    </row>
    <row r="103" spans="1:8" x14ac:dyDescent="0.2">
      <c r="B103" s="395">
        <v>43389</v>
      </c>
      <c r="C103" t="s">
        <v>128</v>
      </c>
      <c r="D103" t="s">
        <v>129</v>
      </c>
      <c r="F103">
        <v>0</v>
      </c>
      <c r="G103">
        <v>489</v>
      </c>
      <c r="H103">
        <v>-14738.122874999999</v>
      </c>
    </row>
    <row r="104" spans="1:8" x14ac:dyDescent="0.2">
      <c r="B104" s="395">
        <v>43389</v>
      </c>
      <c r="C104" t="s">
        <v>128</v>
      </c>
      <c r="D104" t="s">
        <v>129</v>
      </c>
      <c r="F104">
        <v>0</v>
      </c>
      <c r="G104">
        <v>63.21</v>
      </c>
      <c r="H104">
        <v>-14674.912875</v>
      </c>
    </row>
    <row r="105" spans="1:8" x14ac:dyDescent="0.2">
      <c r="B105" s="395">
        <v>43389</v>
      </c>
      <c r="C105" t="s">
        <v>147</v>
      </c>
      <c r="D105" t="s">
        <v>663</v>
      </c>
      <c r="F105">
        <v>0</v>
      </c>
      <c r="G105">
        <v>1778.29</v>
      </c>
      <c r="H105">
        <v>-12896.622874999999</v>
      </c>
    </row>
    <row r="106" spans="1:8" x14ac:dyDescent="0.2">
      <c r="B106" s="395">
        <v>43389</v>
      </c>
      <c r="C106" t="s">
        <v>26</v>
      </c>
      <c r="D106" t="s">
        <v>153</v>
      </c>
      <c r="F106">
        <v>0</v>
      </c>
      <c r="G106">
        <v>39.532125000000001</v>
      </c>
      <c r="H106">
        <v>-12857.090749999999</v>
      </c>
    </row>
    <row r="107" spans="1:8" x14ac:dyDescent="0.2">
      <c r="B107" s="395">
        <v>43389</v>
      </c>
      <c r="C107" t="s">
        <v>28</v>
      </c>
      <c r="D107" t="s">
        <v>31</v>
      </c>
      <c r="F107">
        <v>0</v>
      </c>
      <c r="G107">
        <v>3.65</v>
      </c>
      <c r="H107">
        <v>-12853.44075</v>
      </c>
    </row>
    <row r="108" spans="1:8" x14ac:dyDescent="0.2">
      <c r="B108" s="395">
        <v>43389</v>
      </c>
      <c r="C108" t="s">
        <v>39</v>
      </c>
      <c r="D108" t="s">
        <v>40</v>
      </c>
      <c r="F108">
        <v>0</v>
      </c>
      <c r="G108">
        <v>0.14000000000000001</v>
      </c>
      <c r="H108">
        <v>-12853.30075</v>
      </c>
    </row>
    <row r="109" spans="1:8" x14ac:dyDescent="0.2">
      <c r="B109" s="395">
        <v>43389</v>
      </c>
      <c r="C109" t="s">
        <v>682</v>
      </c>
      <c r="D109" t="s">
        <v>45</v>
      </c>
      <c r="F109">
        <v>0</v>
      </c>
      <c r="G109">
        <v>567.91</v>
      </c>
      <c r="H109">
        <v>-12285.39075</v>
      </c>
    </row>
    <row r="110" spans="1:8" x14ac:dyDescent="0.2">
      <c r="B110" s="395">
        <v>43389</v>
      </c>
      <c r="C110" t="s">
        <v>113</v>
      </c>
      <c r="D110" t="s">
        <v>1130</v>
      </c>
      <c r="F110">
        <v>0</v>
      </c>
      <c r="G110">
        <v>56</v>
      </c>
      <c r="H110">
        <v>-12229.39075</v>
      </c>
    </row>
    <row r="111" spans="1:8" x14ac:dyDescent="0.2">
      <c r="A111">
        <v>7359</v>
      </c>
      <c r="B111" s="395">
        <v>43389</v>
      </c>
      <c r="C111" t="s">
        <v>85</v>
      </c>
      <c r="D111" t="s">
        <v>86</v>
      </c>
      <c r="F111">
        <v>46.73</v>
      </c>
      <c r="G111">
        <v>0</v>
      </c>
      <c r="H111">
        <v>-12276.12075</v>
      </c>
    </row>
    <row r="112" spans="1:8" x14ac:dyDescent="0.2">
      <c r="A112">
        <v>7363</v>
      </c>
      <c r="B112" s="395">
        <v>43389</v>
      </c>
      <c r="C112" t="s">
        <v>51</v>
      </c>
      <c r="D112" t="s">
        <v>97</v>
      </c>
      <c r="F112">
        <v>125.59</v>
      </c>
      <c r="G112">
        <v>0</v>
      </c>
      <c r="H112">
        <v>-12401.71075</v>
      </c>
    </row>
    <row r="113" spans="1:8" x14ac:dyDescent="0.2">
      <c r="A113">
        <v>7360</v>
      </c>
      <c r="B113" s="395">
        <v>43389</v>
      </c>
      <c r="C113" t="s">
        <v>57</v>
      </c>
      <c r="D113" t="s">
        <v>45</v>
      </c>
      <c r="F113">
        <v>567.91</v>
      </c>
      <c r="G113">
        <v>0</v>
      </c>
      <c r="H113">
        <v>-12969.62075</v>
      </c>
    </row>
    <row r="114" spans="1:8" x14ac:dyDescent="0.2">
      <c r="A114">
        <v>7358</v>
      </c>
      <c r="B114" s="395">
        <v>43389</v>
      </c>
      <c r="C114" t="s">
        <v>100</v>
      </c>
      <c r="D114" t="s">
        <v>1131</v>
      </c>
      <c r="F114">
        <v>72.33</v>
      </c>
      <c r="G114">
        <v>0</v>
      </c>
      <c r="H114">
        <v>-13041.95075</v>
      </c>
    </row>
    <row r="115" spans="1:8" x14ac:dyDescent="0.2">
      <c r="A115">
        <v>7366</v>
      </c>
      <c r="B115" s="395">
        <v>43410</v>
      </c>
      <c r="C115" t="s">
        <v>61</v>
      </c>
      <c r="D115" t="s">
        <v>1132</v>
      </c>
      <c r="F115">
        <v>48.36</v>
      </c>
      <c r="G115">
        <v>0</v>
      </c>
      <c r="H115">
        <v>-13090.310750000001</v>
      </c>
    </row>
    <row r="116" spans="1:8" x14ac:dyDescent="0.2">
      <c r="B116" s="395">
        <v>43410</v>
      </c>
      <c r="C116" t="s">
        <v>20</v>
      </c>
      <c r="D116" t="s">
        <v>671</v>
      </c>
      <c r="F116">
        <v>0</v>
      </c>
      <c r="G116">
        <v>39.532125000000001</v>
      </c>
      <c r="H116">
        <v>-13050.778625000001</v>
      </c>
    </row>
    <row r="117" spans="1:8" x14ac:dyDescent="0.2">
      <c r="B117" s="395">
        <v>43410</v>
      </c>
      <c r="C117" t="s">
        <v>33</v>
      </c>
      <c r="D117" t="s">
        <v>37</v>
      </c>
      <c r="F117">
        <v>0</v>
      </c>
      <c r="G117">
        <v>20</v>
      </c>
      <c r="H117">
        <v>-13030.778625000001</v>
      </c>
    </row>
    <row r="118" spans="1:8" x14ac:dyDescent="0.2">
      <c r="B118" s="395">
        <v>43410</v>
      </c>
      <c r="C118" t="s">
        <v>682</v>
      </c>
      <c r="D118" t="s">
        <v>45</v>
      </c>
      <c r="F118">
        <v>0</v>
      </c>
      <c r="G118">
        <v>198.38</v>
      </c>
      <c r="H118">
        <v>-12832.398625</v>
      </c>
    </row>
    <row r="119" spans="1:8" x14ac:dyDescent="0.2">
      <c r="B119" s="395">
        <v>43410</v>
      </c>
      <c r="C119" t="s">
        <v>113</v>
      </c>
      <c r="D119" t="s">
        <v>114</v>
      </c>
      <c r="F119">
        <v>0</v>
      </c>
      <c r="G119">
        <v>81</v>
      </c>
      <c r="H119">
        <v>-12751.398625</v>
      </c>
    </row>
    <row r="120" spans="1:8" x14ac:dyDescent="0.2">
      <c r="A120">
        <v>7365</v>
      </c>
      <c r="B120" s="395">
        <v>43410</v>
      </c>
      <c r="C120" t="s">
        <v>537</v>
      </c>
      <c r="D120" t="s">
        <v>1133</v>
      </c>
      <c r="F120">
        <v>440</v>
      </c>
      <c r="G120">
        <v>0</v>
      </c>
      <c r="H120">
        <v>-13191.398625</v>
      </c>
    </row>
    <row r="121" spans="1:8" x14ac:dyDescent="0.2">
      <c r="A121">
        <v>7369</v>
      </c>
      <c r="B121" s="395">
        <v>43410</v>
      </c>
      <c r="C121" t="s">
        <v>51</v>
      </c>
      <c r="D121" t="s">
        <v>97</v>
      </c>
      <c r="F121">
        <v>70.03</v>
      </c>
      <c r="G121">
        <v>0</v>
      </c>
      <c r="H121">
        <v>-13261.428625</v>
      </c>
    </row>
    <row r="122" spans="1:8" x14ac:dyDescent="0.2">
      <c r="A122">
        <v>7368</v>
      </c>
      <c r="B122" s="395">
        <v>43410</v>
      </c>
      <c r="C122" t="s">
        <v>57</v>
      </c>
      <c r="D122" t="s">
        <v>1134</v>
      </c>
      <c r="F122">
        <v>198.38</v>
      </c>
      <c r="G122">
        <v>0</v>
      </c>
      <c r="H122">
        <v>-13459.808625</v>
      </c>
    </row>
    <row r="123" spans="1:8" x14ac:dyDescent="0.2">
      <c r="A123">
        <v>7367</v>
      </c>
      <c r="B123" s="395">
        <v>43410</v>
      </c>
      <c r="C123" t="s">
        <v>100</v>
      </c>
      <c r="D123" t="s">
        <v>1109</v>
      </c>
      <c r="F123">
        <v>41.34</v>
      </c>
      <c r="G123">
        <v>0</v>
      </c>
      <c r="H123">
        <v>-13501.148625</v>
      </c>
    </row>
    <row r="124" spans="1:8" x14ac:dyDescent="0.2">
      <c r="A124">
        <v>7364</v>
      </c>
      <c r="B124" s="395">
        <v>43410</v>
      </c>
      <c r="C124" t="s">
        <v>119</v>
      </c>
      <c r="D124" t="s">
        <v>1135</v>
      </c>
      <c r="F124">
        <v>22.5</v>
      </c>
      <c r="G124">
        <v>0</v>
      </c>
      <c r="H124">
        <v>-13523.648625</v>
      </c>
    </row>
    <row r="125" spans="1:8" x14ac:dyDescent="0.2">
      <c r="A125">
        <v>7374</v>
      </c>
      <c r="B125" s="395">
        <v>43424</v>
      </c>
      <c r="C125" t="s">
        <v>109</v>
      </c>
      <c r="D125" t="s">
        <v>110</v>
      </c>
      <c r="F125">
        <v>37.51</v>
      </c>
      <c r="G125">
        <v>0</v>
      </c>
      <c r="H125">
        <v>-13561.158625</v>
      </c>
    </row>
    <row r="126" spans="1:8" x14ac:dyDescent="0.2">
      <c r="A126">
        <v>7375</v>
      </c>
      <c r="B126" s="395">
        <v>43424</v>
      </c>
      <c r="C126" t="s">
        <v>16</v>
      </c>
      <c r="D126" t="s">
        <v>1136</v>
      </c>
      <c r="F126">
        <v>363.6</v>
      </c>
      <c r="G126">
        <v>0</v>
      </c>
      <c r="H126">
        <v>-13924.758625</v>
      </c>
    </row>
    <row r="127" spans="1:8" x14ac:dyDescent="0.2">
      <c r="A127">
        <v>7376</v>
      </c>
      <c r="B127" s="395">
        <v>43424</v>
      </c>
      <c r="C127" t="s">
        <v>107</v>
      </c>
      <c r="D127" t="s">
        <v>108</v>
      </c>
      <c r="F127">
        <v>460.65</v>
      </c>
      <c r="G127">
        <v>0</v>
      </c>
      <c r="H127">
        <v>-14385.408625</v>
      </c>
    </row>
    <row r="128" spans="1:8" x14ac:dyDescent="0.2">
      <c r="B128" s="395">
        <v>43424</v>
      </c>
      <c r="C128" t="s">
        <v>23</v>
      </c>
      <c r="D128" t="s">
        <v>649</v>
      </c>
      <c r="F128">
        <v>0</v>
      </c>
      <c r="G128">
        <v>809</v>
      </c>
      <c r="H128">
        <v>-13576.408625</v>
      </c>
    </row>
    <row r="129" spans="1:8" x14ac:dyDescent="0.2">
      <c r="B129" s="395">
        <v>43424</v>
      </c>
      <c r="C129" t="s">
        <v>128</v>
      </c>
      <c r="D129" t="s">
        <v>129</v>
      </c>
      <c r="F129">
        <v>0</v>
      </c>
      <c r="G129">
        <v>698</v>
      </c>
      <c r="H129">
        <v>-12878.408625</v>
      </c>
    </row>
    <row r="130" spans="1:8" x14ac:dyDescent="0.2">
      <c r="B130" s="395">
        <v>43424</v>
      </c>
      <c r="C130" t="s">
        <v>142</v>
      </c>
      <c r="D130" t="s">
        <v>1137</v>
      </c>
      <c r="F130">
        <v>0</v>
      </c>
      <c r="G130">
        <v>14.59</v>
      </c>
      <c r="H130">
        <v>-12863.818625</v>
      </c>
    </row>
    <row r="131" spans="1:8" x14ac:dyDescent="0.2">
      <c r="B131" s="395">
        <v>43424</v>
      </c>
      <c r="C131" t="s">
        <v>33</v>
      </c>
      <c r="D131" t="s">
        <v>37</v>
      </c>
      <c r="F131">
        <v>0</v>
      </c>
      <c r="G131">
        <v>23</v>
      </c>
      <c r="H131">
        <v>-12840.818625</v>
      </c>
    </row>
    <row r="132" spans="1:8" x14ac:dyDescent="0.2">
      <c r="B132" s="395">
        <v>43424</v>
      </c>
      <c r="C132" t="s">
        <v>682</v>
      </c>
      <c r="D132" t="s">
        <v>45</v>
      </c>
      <c r="F132">
        <v>0</v>
      </c>
      <c r="G132">
        <v>24.31</v>
      </c>
      <c r="H132">
        <v>-12816.508625</v>
      </c>
    </row>
    <row r="133" spans="1:8" x14ac:dyDescent="0.2">
      <c r="B133" s="395">
        <v>43424</v>
      </c>
      <c r="C133" t="s">
        <v>113</v>
      </c>
      <c r="D133" t="s">
        <v>114</v>
      </c>
      <c r="F133">
        <v>0</v>
      </c>
      <c r="G133">
        <v>88</v>
      </c>
      <c r="H133">
        <v>-12728.508625</v>
      </c>
    </row>
    <row r="134" spans="1:8" x14ac:dyDescent="0.2">
      <c r="A134">
        <v>7373</v>
      </c>
      <c r="B134" s="395">
        <v>43424</v>
      </c>
      <c r="C134" t="s">
        <v>188</v>
      </c>
      <c r="D134" t="s">
        <v>1138</v>
      </c>
      <c r="F134">
        <v>1220</v>
      </c>
      <c r="G134">
        <v>0</v>
      </c>
      <c r="H134">
        <v>-13948.508625</v>
      </c>
    </row>
    <row r="135" spans="1:8" x14ac:dyDescent="0.2">
      <c r="A135">
        <v>7371</v>
      </c>
      <c r="B135" s="395">
        <v>43424</v>
      </c>
      <c r="C135" t="s">
        <v>85</v>
      </c>
      <c r="D135" t="s">
        <v>86</v>
      </c>
      <c r="F135">
        <v>46.03</v>
      </c>
      <c r="G135">
        <v>0</v>
      </c>
      <c r="H135">
        <v>-13994.538624999999</v>
      </c>
    </row>
    <row r="136" spans="1:8" x14ac:dyDescent="0.2">
      <c r="A136">
        <v>7375</v>
      </c>
      <c r="B136" s="395">
        <v>43424</v>
      </c>
      <c r="C136" t="s">
        <v>193</v>
      </c>
      <c r="D136" t="s">
        <v>92</v>
      </c>
      <c r="F136">
        <v>20</v>
      </c>
      <c r="G136">
        <v>0</v>
      </c>
      <c r="H136">
        <v>-14014.538624999999</v>
      </c>
    </row>
    <row r="137" spans="1:8" x14ac:dyDescent="0.2">
      <c r="A137">
        <v>7372</v>
      </c>
      <c r="B137" s="395">
        <v>43424</v>
      </c>
      <c r="C137" t="s">
        <v>537</v>
      </c>
      <c r="D137" t="s">
        <v>52</v>
      </c>
      <c r="F137">
        <v>255.55</v>
      </c>
      <c r="G137">
        <v>0</v>
      </c>
      <c r="H137">
        <v>-14270.088625</v>
      </c>
    </row>
    <row r="138" spans="1:8" x14ac:dyDescent="0.2">
      <c r="A138">
        <v>7375</v>
      </c>
      <c r="B138" s="395">
        <v>43424</v>
      </c>
      <c r="C138" t="s">
        <v>51</v>
      </c>
      <c r="D138" t="s">
        <v>97</v>
      </c>
      <c r="F138">
        <v>16.97</v>
      </c>
      <c r="G138">
        <v>0</v>
      </c>
      <c r="H138">
        <v>-14287.058625</v>
      </c>
    </row>
    <row r="139" spans="1:8" x14ac:dyDescent="0.2">
      <c r="A139">
        <v>7377</v>
      </c>
      <c r="B139" s="395">
        <v>43424</v>
      </c>
      <c r="C139" t="s">
        <v>51</v>
      </c>
      <c r="D139" t="s">
        <v>97</v>
      </c>
      <c r="F139">
        <v>168.91</v>
      </c>
      <c r="G139">
        <v>0</v>
      </c>
      <c r="H139">
        <v>-14455.968625</v>
      </c>
    </row>
    <row r="140" spans="1:8" x14ac:dyDescent="0.2">
      <c r="A140">
        <v>7379</v>
      </c>
      <c r="B140" s="395">
        <v>43424</v>
      </c>
      <c r="C140" t="s">
        <v>54</v>
      </c>
      <c r="D140" t="s">
        <v>1139</v>
      </c>
      <c r="F140">
        <v>58.96</v>
      </c>
      <c r="G140">
        <v>0</v>
      </c>
      <c r="H140">
        <v>-14514.928625</v>
      </c>
    </row>
    <row r="141" spans="1:8" x14ac:dyDescent="0.2">
      <c r="A141">
        <v>7378</v>
      </c>
      <c r="B141" s="395">
        <v>43424</v>
      </c>
      <c r="C141" t="s">
        <v>203</v>
      </c>
      <c r="D141" t="s">
        <v>1140</v>
      </c>
      <c r="F141">
        <v>2160</v>
      </c>
      <c r="G141">
        <v>0</v>
      </c>
      <c r="H141">
        <v>-16674.928625</v>
      </c>
    </row>
    <row r="142" spans="1:8" x14ac:dyDescent="0.2">
      <c r="A142">
        <v>7370</v>
      </c>
      <c r="B142" s="395">
        <v>43424</v>
      </c>
      <c r="C142" t="s">
        <v>100</v>
      </c>
      <c r="D142" t="s">
        <v>207</v>
      </c>
      <c r="F142">
        <v>55.66</v>
      </c>
      <c r="G142">
        <v>0</v>
      </c>
      <c r="H142">
        <v>-16674.928625</v>
      </c>
    </row>
    <row r="143" spans="1:8" x14ac:dyDescent="0.2">
      <c r="B143" s="395">
        <v>43438</v>
      </c>
      <c r="C143" t="s">
        <v>20</v>
      </c>
      <c r="D143" t="s">
        <v>1141</v>
      </c>
      <c r="F143">
        <v>0</v>
      </c>
      <c r="G143">
        <v>12</v>
      </c>
      <c r="H143">
        <v>-16662.928625</v>
      </c>
    </row>
    <row r="144" spans="1:8" x14ac:dyDescent="0.2">
      <c r="B144" s="395">
        <v>43438</v>
      </c>
      <c r="C144" t="s">
        <v>20</v>
      </c>
      <c r="D144" t="s">
        <v>37</v>
      </c>
      <c r="F144">
        <v>0</v>
      </c>
      <c r="G144">
        <v>12</v>
      </c>
      <c r="H144">
        <v>-16650.928625</v>
      </c>
    </row>
    <row r="145" spans="1:8" x14ac:dyDescent="0.2">
      <c r="B145" s="395">
        <v>43438</v>
      </c>
      <c r="C145" t="s">
        <v>20</v>
      </c>
      <c r="D145" t="s">
        <v>671</v>
      </c>
      <c r="F145">
        <v>0</v>
      </c>
      <c r="G145">
        <v>144</v>
      </c>
      <c r="H145">
        <v>-16506.928625</v>
      </c>
    </row>
    <row r="146" spans="1:8" x14ac:dyDescent="0.2">
      <c r="B146" s="395">
        <v>43438</v>
      </c>
      <c r="C146" t="s">
        <v>23</v>
      </c>
      <c r="D146" t="s">
        <v>649</v>
      </c>
      <c r="F146">
        <v>0</v>
      </c>
      <c r="G146">
        <v>281</v>
      </c>
      <c r="H146">
        <v>-16225.928625</v>
      </c>
    </row>
    <row r="147" spans="1:8" x14ac:dyDescent="0.2">
      <c r="B147" s="395">
        <v>43438</v>
      </c>
      <c r="C147" t="s">
        <v>26</v>
      </c>
      <c r="D147" t="s">
        <v>27</v>
      </c>
      <c r="F147">
        <v>0</v>
      </c>
      <c r="G147">
        <v>12</v>
      </c>
      <c r="H147">
        <v>-16213.928625</v>
      </c>
    </row>
    <row r="148" spans="1:8" x14ac:dyDescent="0.2">
      <c r="B148" s="395">
        <v>43438</v>
      </c>
      <c r="C148" t="s">
        <v>28</v>
      </c>
      <c r="D148" t="s">
        <v>31</v>
      </c>
      <c r="F148">
        <v>0</v>
      </c>
      <c r="G148">
        <v>14.6</v>
      </c>
      <c r="H148">
        <v>-16199.328625</v>
      </c>
    </row>
    <row r="149" spans="1:8" x14ac:dyDescent="0.2">
      <c r="B149" s="395">
        <v>43438</v>
      </c>
      <c r="C149" t="s">
        <v>36</v>
      </c>
      <c r="D149" t="s">
        <v>670</v>
      </c>
      <c r="F149">
        <v>0</v>
      </c>
      <c r="G149">
        <v>60</v>
      </c>
      <c r="H149">
        <v>-16139.328625</v>
      </c>
    </row>
    <row r="150" spans="1:8" x14ac:dyDescent="0.2">
      <c r="B150" s="395">
        <v>43438</v>
      </c>
      <c r="C150" t="s">
        <v>682</v>
      </c>
      <c r="D150" t="s">
        <v>45</v>
      </c>
      <c r="F150">
        <v>0</v>
      </c>
      <c r="G150">
        <v>48.62</v>
      </c>
      <c r="H150">
        <v>-16090.708624999999</v>
      </c>
    </row>
    <row r="151" spans="1:8" x14ac:dyDescent="0.2">
      <c r="B151" s="395">
        <v>43438</v>
      </c>
      <c r="C151" t="s">
        <v>113</v>
      </c>
      <c r="D151" t="s">
        <v>114</v>
      </c>
      <c r="F151">
        <v>0</v>
      </c>
      <c r="G151">
        <v>62.26</v>
      </c>
      <c r="H151">
        <v>-16028.448625000001</v>
      </c>
    </row>
    <row r="152" spans="1:8" x14ac:dyDescent="0.2">
      <c r="B152" s="395">
        <v>43438</v>
      </c>
      <c r="C152" t="s">
        <v>47</v>
      </c>
      <c r="D152" t="s">
        <v>212</v>
      </c>
      <c r="F152">
        <v>0</v>
      </c>
      <c r="G152">
        <v>19430</v>
      </c>
      <c r="H152">
        <v>3364.7113749999999</v>
      </c>
    </row>
    <row r="153" spans="1:8" x14ac:dyDescent="0.2">
      <c r="A153">
        <v>7382</v>
      </c>
      <c r="B153" s="395">
        <v>43438</v>
      </c>
      <c r="C153" t="s">
        <v>51</v>
      </c>
      <c r="D153" t="s">
        <v>97</v>
      </c>
      <c r="F153">
        <v>36.840000000000003</v>
      </c>
      <c r="G153">
        <v>0</v>
      </c>
      <c r="H153">
        <v>3299.2013750000001</v>
      </c>
    </row>
    <row r="154" spans="1:8" x14ac:dyDescent="0.2">
      <c r="A154">
        <v>7387</v>
      </c>
      <c r="B154" s="395">
        <v>43438</v>
      </c>
      <c r="C154" t="s">
        <v>51</v>
      </c>
      <c r="D154" t="s">
        <v>97</v>
      </c>
      <c r="F154">
        <v>65.510000000000005</v>
      </c>
      <c r="G154">
        <v>0</v>
      </c>
      <c r="H154">
        <v>3202.8913750000002</v>
      </c>
    </row>
    <row r="155" spans="1:8" x14ac:dyDescent="0.2">
      <c r="A155">
        <v>7380</v>
      </c>
      <c r="B155" s="395">
        <v>43438</v>
      </c>
      <c r="C155" t="s">
        <v>54</v>
      </c>
      <c r="D155" t="s">
        <v>666</v>
      </c>
      <c r="F155">
        <v>96.31</v>
      </c>
      <c r="G155">
        <v>0</v>
      </c>
      <c r="H155">
        <v>3190.2013750000001</v>
      </c>
    </row>
    <row r="156" spans="1:8" x14ac:dyDescent="0.2">
      <c r="A156">
        <v>7381</v>
      </c>
      <c r="B156" s="395">
        <v>43438</v>
      </c>
      <c r="C156" t="s">
        <v>54</v>
      </c>
      <c r="D156" t="s">
        <v>666</v>
      </c>
      <c r="F156">
        <v>12.69</v>
      </c>
      <c r="G156">
        <v>0</v>
      </c>
      <c r="H156">
        <v>2577.0613750000002</v>
      </c>
    </row>
    <row r="157" spans="1:8" x14ac:dyDescent="0.2">
      <c r="A157">
        <v>7383</v>
      </c>
      <c r="B157" s="395">
        <v>43438</v>
      </c>
      <c r="C157" t="s">
        <v>54</v>
      </c>
      <c r="D157" t="s">
        <v>666</v>
      </c>
      <c r="F157">
        <v>613.14</v>
      </c>
      <c r="G157">
        <v>0</v>
      </c>
      <c r="H157">
        <v>2152.9113750000001</v>
      </c>
    </row>
    <row r="158" spans="1:8" x14ac:dyDescent="0.2">
      <c r="A158">
        <v>7385</v>
      </c>
      <c r="B158" s="395">
        <v>43438</v>
      </c>
      <c r="C158" t="s">
        <v>54</v>
      </c>
      <c r="D158" t="s">
        <v>666</v>
      </c>
      <c r="F158">
        <v>424.15</v>
      </c>
      <c r="G158">
        <v>0</v>
      </c>
      <c r="H158">
        <v>2104.2913749999998</v>
      </c>
    </row>
    <row r="159" spans="1:8" x14ac:dyDescent="0.2">
      <c r="A159">
        <v>7386</v>
      </c>
      <c r="B159" s="395">
        <v>43438</v>
      </c>
      <c r="C159" t="s">
        <v>57</v>
      </c>
      <c r="D159" t="s">
        <v>45</v>
      </c>
      <c r="F159">
        <v>48.62</v>
      </c>
      <c r="G159">
        <v>0</v>
      </c>
      <c r="H159">
        <v>2061.301375</v>
      </c>
    </row>
    <row r="160" spans="1:8" x14ac:dyDescent="0.2">
      <c r="A160">
        <v>7384</v>
      </c>
      <c r="B160" s="395">
        <v>43438</v>
      </c>
      <c r="C160" t="s">
        <v>100</v>
      </c>
      <c r="D160" t="s">
        <v>1109</v>
      </c>
      <c r="F160">
        <v>42.99</v>
      </c>
      <c r="G160">
        <v>0</v>
      </c>
      <c r="H160">
        <v>1561.301375</v>
      </c>
    </row>
    <row r="161" spans="1:8" x14ac:dyDescent="0.2">
      <c r="A161">
        <v>7397</v>
      </c>
      <c r="B161" s="395">
        <v>43452</v>
      </c>
      <c r="C161" t="s">
        <v>30</v>
      </c>
      <c r="D161" t="s">
        <v>1142</v>
      </c>
      <c r="F161">
        <v>500</v>
      </c>
      <c r="G161">
        <v>0</v>
      </c>
      <c r="H161">
        <v>884.30137500000103</v>
      </c>
    </row>
    <row r="162" spans="1:8" x14ac:dyDescent="0.2">
      <c r="A162">
        <v>7396</v>
      </c>
      <c r="B162" s="395">
        <v>43452</v>
      </c>
      <c r="C162" t="s">
        <v>68</v>
      </c>
      <c r="D162" t="s">
        <v>1143</v>
      </c>
      <c r="F162">
        <v>677</v>
      </c>
      <c r="G162">
        <v>0</v>
      </c>
      <c r="H162">
        <v>414.66137500000099</v>
      </c>
    </row>
    <row r="163" spans="1:8" x14ac:dyDescent="0.2">
      <c r="A163">
        <v>7389</v>
      </c>
      <c r="B163" s="395">
        <v>43452</v>
      </c>
      <c r="C163" t="s">
        <v>107</v>
      </c>
      <c r="D163" t="s">
        <v>108</v>
      </c>
      <c r="F163">
        <v>469.64</v>
      </c>
      <c r="G163">
        <v>0</v>
      </c>
      <c r="H163">
        <v>-1585.3386250000001</v>
      </c>
    </row>
    <row r="164" spans="1:8" x14ac:dyDescent="0.2">
      <c r="A164">
        <v>7390</v>
      </c>
      <c r="B164" s="395">
        <v>43452</v>
      </c>
      <c r="C164" t="s">
        <v>465</v>
      </c>
      <c r="D164" t="s">
        <v>1144</v>
      </c>
      <c r="F164">
        <v>2000</v>
      </c>
      <c r="G164">
        <v>0</v>
      </c>
      <c r="H164">
        <v>-1631.668625</v>
      </c>
    </row>
    <row r="165" spans="1:8" x14ac:dyDescent="0.2">
      <c r="A165">
        <v>7388</v>
      </c>
      <c r="B165" s="395">
        <v>43452</v>
      </c>
      <c r="C165" t="s">
        <v>85</v>
      </c>
      <c r="D165" t="s">
        <v>86</v>
      </c>
      <c r="F165">
        <v>46.33</v>
      </c>
      <c r="G165">
        <v>0</v>
      </c>
      <c r="H165">
        <v>-1785.2986249999999</v>
      </c>
    </row>
    <row r="166" spans="1:8" x14ac:dyDescent="0.2">
      <c r="A166">
        <v>7395</v>
      </c>
      <c r="B166" s="395">
        <v>43452</v>
      </c>
      <c r="C166" t="s">
        <v>51</v>
      </c>
      <c r="D166" t="s">
        <v>97</v>
      </c>
      <c r="F166">
        <v>153.63</v>
      </c>
      <c r="G166">
        <v>0</v>
      </c>
      <c r="H166">
        <v>-1858.228625</v>
      </c>
    </row>
    <row r="167" spans="1:8" x14ac:dyDescent="0.2">
      <c r="A167">
        <v>7392</v>
      </c>
      <c r="B167" s="395">
        <v>43452</v>
      </c>
      <c r="C167" t="s">
        <v>54</v>
      </c>
      <c r="D167" t="s">
        <v>666</v>
      </c>
      <c r="F167">
        <v>72.930000000000007</v>
      </c>
      <c r="G167">
        <v>0</v>
      </c>
      <c r="H167">
        <v>-1890.178625</v>
      </c>
    </row>
    <row r="168" spans="1:8" x14ac:dyDescent="0.2">
      <c r="A168">
        <v>7393</v>
      </c>
      <c r="B168" s="395">
        <v>43452</v>
      </c>
      <c r="C168" t="s">
        <v>54</v>
      </c>
      <c r="D168" t="s">
        <v>666</v>
      </c>
      <c r="F168">
        <v>31.95</v>
      </c>
      <c r="G168">
        <v>0</v>
      </c>
      <c r="H168">
        <v>-16827.178625</v>
      </c>
    </row>
    <row r="169" spans="1:8" x14ac:dyDescent="0.2">
      <c r="A169">
        <v>7391</v>
      </c>
      <c r="B169" s="395">
        <v>43452</v>
      </c>
      <c r="C169" t="s">
        <v>203</v>
      </c>
      <c r="D169" t="s">
        <v>1140</v>
      </c>
      <c r="F169">
        <v>14937</v>
      </c>
      <c r="G169">
        <v>0</v>
      </c>
      <c r="H169">
        <v>-16871.698625000001</v>
      </c>
    </row>
    <row r="170" spans="1:8" x14ac:dyDescent="0.2">
      <c r="A170">
        <v>7394</v>
      </c>
      <c r="B170" s="395">
        <v>43452</v>
      </c>
      <c r="C170" t="s">
        <v>100</v>
      </c>
      <c r="D170" t="s">
        <v>207</v>
      </c>
      <c r="F170">
        <v>44.52</v>
      </c>
      <c r="G170">
        <v>0</v>
      </c>
      <c r="H170">
        <v>-16933.878625000001</v>
      </c>
    </row>
    <row r="173" spans="1:8" x14ac:dyDescent="0.2">
      <c r="B173" s="395"/>
    </row>
    <row r="174" spans="1:8" x14ac:dyDescent="0.2">
      <c r="B174" s="395"/>
    </row>
  </sheetData>
  <pageMargins left="0" right="0" top="0.39410000000000006" bottom="0.39410000000000006" header="0" footer="0"/>
  <pageSetup fitToWidth="0" fitToHeight="0" pageOrder="overThenDown" orientation="portrait" r:id="rId1"/>
  <headerFooter>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3"/>
  <sheetViews>
    <sheetView workbookViewId="0"/>
  </sheetViews>
  <sheetFormatPr defaultRowHeight="14.25" x14ac:dyDescent="0.2"/>
  <cols>
    <col min="1" max="7" width="10.75" customWidth="1"/>
  </cols>
  <sheetData>
    <row r="1" spans="1:7" x14ac:dyDescent="0.2">
      <c r="A1" t="s">
        <v>5</v>
      </c>
      <c r="B1" t="s">
        <v>6</v>
      </c>
      <c r="C1" t="s">
        <v>593</v>
      </c>
      <c r="D1" t="s">
        <v>594</v>
      </c>
      <c r="E1" t="s">
        <v>595</v>
      </c>
      <c r="F1" t="s">
        <v>596</v>
      </c>
      <c r="G1" t="s">
        <v>597</v>
      </c>
    </row>
    <row r="3" spans="1:7" x14ac:dyDescent="0.2">
      <c r="A3">
        <v>7314</v>
      </c>
      <c r="B3" s="395">
        <v>43102</v>
      </c>
      <c r="C3" t="s">
        <v>91</v>
      </c>
      <c r="D3" t="s">
        <v>607</v>
      </c>
      <c r="F3">
        <v>185.4</v>
      </c>
      <c r="G3">
        <v>0</v>
      </c>
    </row>
    <row r="4" spans="1:7" x14ac:dyDescent="0.2">
      <c r="A4">
        <v>7202</v>
      </c>
      <c r="B4" s="395">
        <v>43102</v>
      </c>
      <c r="C4" t="s">
        <v>570</v>
      </c>
      <c r="D4" t="s">
        <v>97</v>
      </c>
      <c r="F4">
        <v>173.02</v>
      </c>
      <c r="G4">
        <v>0</v>
      </c>
    </row>
    <row r="5" spans="1:7" x14ac:dyDescent="0.2">
      <c r="A5">
        <v>7203</v>
      </c>
      <c r="B5" s="395">
        <v>43102</v>
      </c>
      <c r="C5" t="s">
        <v>579</v>
      </c>
      <c r="D5" t="s">
        <v>666</v>
      </c>
      <c r="F5">
        <v>64.19</v>
      </c>
      <c r="G5">
        <v>0</v>
      </c>
    </row>
    <row r="6" spans="1:7" x14ac:dyDescent="0.2">
      <c r="A6">
        <v>7204</v>
      </c>
      <c r="B6" s="395">
        <v>43102</v>
      </c>
      <c r="C6" t="s">
        <v>51</v>
      </c>
      <c r="D6" t="s">
        <v>1145</v>
      </c>
      <c r="F6">
        <v>121.57</v>
      </c>
      <c r="G6">
        <v>0</v>
      </c>
    </row>
    <row r="7" spans="1:7" x14ac:dyDescent="0.2">
      <c r="A7">
        <v>7205</v>
      </c>
      <c r="B7" s="395">
        <v>43102</v>
      </c>
      <c r="C7" t="s">
        <v>580</v>
      </c>
      <c r="D7" t="s">
        <v>1146</v>
      </c>
      <c r="F7">
        <v>250</v>
      </c>
      <c r="G7">
        <v>0</v>
      </c>
    </row>
    <row r="8" spans="1:7" x14ac:dyDescent="0.2">
      <c r="A8">
        <v>7206</v>
      </c>
      <c r="B8" s="395">
        <v>43102</v>
      </c>
      <c r="C8" t="s">
        <v>490</v>
      </c>
      <c r="D8" t="s">
        <v>1147</v>
      </c>
      <c r="F8">
        <v>250</v>
      </c>
      <c r="G8">
        <v>0</v>
      </c>
    </row>
    <row r="9" spans="1:7" x14ac:dyDescent="0.2">
      <c r="A9" t="s">
        <v>618</v>
      </c>
      <c r="B9" s="395">
        <v>43102</v>
      </c>
      <c r="C9" t="s">
        <v>33</v>
      </c>
      <c r="D9" t="s">
        <v>34</v>
      </c>
      <c r="F9">
        <v>0</v>
      </c>
      <c r="G9">
        <v>26</v>
      </c>
    </row>
    <row r="10" spans="1:7" x14ac:dyDescent="0.2">
      <c r="A10" t="s">
        <v>618</v>
      </c>
      <c r="B10" s="395">
        <v>43102</v>
      </c>
      <c r="C10" t="s">
        <v>26</v>
      </c>
      <c r="D10" t="s">
        <v>27</v>
      </c>
      <c r="F10">
        <v>0</v>
      </c>
      <c r="G10">
        <v>89</v>
      </c>
    </row>
    <row r="11" spans="1:7" x14ac:dyDescent="0.2">
      <c r="A11" t="s">
        <v>618</v>
      </c>
      <c r="B11" s="395">
        <v>43102</v>
      </c>
      <c r="C11" t="s">
        <v>113</v>
      </c>
      <c r="D11" t="s">
        <v>114</v>
      </c>
      <c r="F11">
        <v>0</v>
      </c>
      <c r="G11">
        <v>30</v>
      </c>
    </row>
    <row r="12" spans="1:7" x14ac:dyDescent="0.2">
      <c r="A12" t="s">
        <v>618</v>
      </c>
      <c r="B12" s="395">
        <v>43102</v>
      </c>
      <c r="C12" t="s">
        <v>23</v>
      </c>
      <c r="D12" t="s">
        <v>1148</v>
      </c>
      <c r="F12">
        <v>0</v>
      </c>
      <c r="G12">
        <v>86</v>
      </c>
    </row>
    <row r="13" spans="1:7" x14ac:dyDescent="0.2">
      <c r="A13" t="s">
        <v>618</v>
      </c>
      <c r="B13" s="395">
        <v>43102</v>
      </c>
      <c r="C13" t="s">
        <v>167</v>
      </c>
      <c r="D13" t="s">
        <v>1149</v>
      </c>
      <c r="F13">
        <v>0</v>
      </c>
      <c r="G13">
        <v>100</v>
      </c>
    </row>
    <row r="14" spans="1:7" x14ac:dyDescent="0.2">
      <c r="A14" t="s">
        <v>618</v>
      </c>
      <c r="B14" s="395">
        <v>43102</v>
      </c>
      <c r="C14" t="s">
        <v>39</v>
      </c>
      <c r="D14" t="s">
        <v>73</v>
      </c>
      <c r="F14">
        <v>0</v>
      </c>
      <c r="G14">
        <v>155.41</v>
      </c>
    </row>
    <row r="15" spans="1:7" x14ac:dyDescent="0.2">
      <c r="A15" t="s">
        <v>618</v>
      </c>
      <c r="B15" s="395">
        <v>43102</v>
      </c>
      <c r="C15" t="s">
        <v>39</v>
      </c>
      <c r="D15" t="s">
        <v>75</v>
      </c>
      <c r="F15">
        <v>0</v>
      </c>
      <c r="G15">
        <v>100</v>
      </c>
    </row>
    <row r="16" spans="1:7" x14ac:dyDescent="0.2">
      <c r="A16" t="s">
        <v>618</v>
      </c>
      <c r="B16" s="395">
        <v>43102</v>
      </c>
      <c r="C16" t="s">
        <v>47</v>
      </c>
      <c r="D16" t="s">
        <v>676</v>
      </c>
      <c r="F16">
        <v>0</v>
      </c>
      <c r="G16">
        <v>6764</v>
      </c>
    </row>
    <row r="17" spans="1:7" x14ac:dyDescent="0.2">
      <c r="A17" t="s">
        <v>618</v>
      </c>
      <c r="B17" s="395">
        <v>43102</v>
      </c>
      <c r="C17" t="s">
        <v>20</v>
      </c>
      <c r="D17" t="s">
        <v>21</v>
      </c>
      <c r="F17">
        <v>0</v>
      </c>
      <c r="G17">
        <v>3401.5321250000002</v>
      </c>
    </row>
    <row r="18" spans="1:7" x14ac:dyDescent="0.2">
      <c r="A18" t="s">
        <v>618</v>
      </c>
      <c r="B18" s="395">
        <v>43102</v>
      </c>
      <c r="C18" t="s">
        <v>28</v>
      </c>
      <c r="D18" t="s">
        <v>29</v>
      </c>
      <c r="F18">
        <v>0</v>
      </c>
      <c r="G18">
        <v>270.25</v>
      </c>
    </row>
    <row r="19" spans="1:7" x14ac:dyDescent="0.2">
      <c r="A19">
        <v>7207</v>
      </c>
      <c r="B19" s="395">
        <v>43116</v>
      </c>
      <c r="C19" t="s">
        <v>193</v>
      </c>
      <c r="D19" t="s">
        <v>1150</v>
      </c>
      <c r="F19">
        <v>469</v>
      </c>
    </row>
    <row r="20" spans="1:7" x14ac:dyDescent="0.2">
      <c r="A20">
        <v>7208</v>
      </c>
      <c r="B20" s="395">
        <v>43116</v>
      </c>
      <c r="C20" t="s">
        <v>16</v>
      </c>
      <c r="D20" t="s">
        <v>108</v>
      </c>
      <c r="F20">
        <v>275.13</v>
      </c>
    </row>
    <row r="21" spans="1:7" x14ac:dyDescent="0.2">
      <c r="A21">
        <v>7209</v>
      </c>
      <c r="B21" s="395">
        <v>43116</v>
      </c>
      <c r="C21" t="s">
        <v>427</v>
      </c>
      <c r="D21" t="s">
        <v>17</v>
      </c>
      <c r="F21">
        <v>235.85</v>
      </c>
    </row>
    <row r="22" spans="1:7" x14ac:dyDescent="0.2">
      <c r="A22">
        <v>7209</v>
      </c>
      <c r="B22" s="395">
        <v>43116</v>
      </c>
      <c r="C22" t="s">
        <v>16</v>
      </c>
      <c r="D22" t="s">
        <v>108</v>
      </c>
      <c r="F22">
        <v>224.77</v>
      </c>
    </row>
    <row r="23" spans="1:7" x14ac:dyDescent="0.2">
      <c r="A23">
        <v>7209</v>
      </c>
      <c r="B23" s="395">
        <v>43116</v>
      </c>
      <c r="C23" t="s">
        <v>570</v>
      </c>
      <c r="D23" t="s">
        <v>97</v>
      </c>
      <c r="F23">
        <v>169.2</v>
      </c>
    </row>
    <row r="24" spans="1:7" x14ac:dyDescent="0.2">
      <c r="A24">
        <v>7210</v>
      </c>
      <c r="B24" s="395">
        <v>43116</v>
      </c>
      <c r="C24" t="s">
        <v>184</v>
      </c>
      <c r="D24" t="s">
        <v>1151</v>
      </c>
      <c r="F24">
        <v>1190</v>
      </c>
    </row>
    <row r="25" spans="1:7" x14ac:dyDescent="0.2">
      <c r="A25">
        <v>7211</v>
      </c>
      <c r="B25" s="395">
        <v>43116</v>
      </c>
      <c r="C25" t="s">
        <v>197</v>
      </c>
      <c r="D25" t="s">
        <v>1152</v>
      </c>
      <c r="F25">
        <v>561</v>
      </c>
    </row>
    <row r="26" spans="1:7" x14ac:dyDescent="0.2">
      <c r="A26">
        <v>7212</v>
      </c>
      <c r="B26" s="395">
        <v>43116</v>
      </c>
      <c r="C26" t="s">
        <v>570</v>
      </c>
      <c r="D26" t="s">
        <v>97</v>
      </c>
      <c r="F26">
        <v>80.540000000000006</v>
      </c>
    </row>
    <row r="27" spans="1:7" x14ac:dyDescent="0.2">
      <c r="A27">
        <v>7213</v>
      </c>
      <c r="B27" s="395">
        <v>43116</v>
      </c>
      <c r="C27" t="s">
        <v>530</v>
      </c>
      <c r="D27" t="s">
        <v>629</v>
      </c>
      <c r="F27">
        <v>47.17</v>
      </c>
    </row>
    <row r="28" spans="1:7" x14ac:dyDescent="0.2">
      <c r="A28">
        <v>7214</v>
      </c>
      <c r="B28" s="395">
        <v>43116</v>
      </c>
      <c r="C28" t="s">
        <v>570</v>
      </c>
      <c r="D28" t="s">
        <v>1153</v>
      </c>
      <c r="F28">
        <v>12.72</v>
      </c>
    </row>
    <row r="29" spans="1:7" x14ac:dyDescent="0.2">
      <c r="A29">
        <v>7215</v>
      </c>
      <c r="B29" s="395">
        <v>43116</v>
      </c>
      <c r="C29" t="s">
        <v>579</v>
      </c>
      <c r="D29" t="s">
        <v>1154</v>
      </c>
      <c r="F29">
        <v>219.87</v>
      </c>
    </row>
    <row r="30" spans="1:7" x14ac:dyDescent="0.2">
      <c r="A30">
        <v>7216</v>
      </c>
      <c r="B30" s="395">
        <v>43116</v>
      </c>
      <c r="C30" t="s">
        <v>533</v>
      </c>
      <c r="D30" t="s">
        <v>1155</v>
      </c>
      <c r="F30">
        <v>250</v>
      </c>
    </row>
    <row r="31" spans="1:7" x14ac:dyDescent="0.2">
      <c r="A31" t="s">
        <v>618</v>
      </c>
      <c r="B31" s="395">
        <v>43116</v>
      </c>
      <c r="C31" t="s">
        <v>36</v>
      </c>
      <c r="D31" t="s">
        <v>37</v>
      </c>
      <c r="G31">
        <v>26</v>
      </c>
    </row>
    <row r="32" spans="1:7" x14ac:dyDescent="0.2">
      <c r="A32" t="s">
        <v>618</v>
      </c>
      <c r="B32" s="395">
        <v>43116</v>
      </c>
      <c r="C32" t="s">
        <v>26</v>
      </c>
      <c r="D32" t="s">
        <v>27</v>
      </c>
      <c r="G32">
        <v>89</v>
      </c>
    </row>
    <row r="33" spans="1:7" x14ac:dyDescent="0.2">
      <c r="A33" t="s">
        <v>618</v>
      </c>
      <c r="B33" s="395">
        <v>43116</v>
      </c>
      <c r="C33" t="s">
        <v>113</v>
      </c>
      <c r="D33" t="s">
        <v>97</v>
      </c>
      <c r="G33">
        <v>30</v>
      </c>
    </row>
    <row r="34" spans="1:7" x14ac:dyDescent="0.2">
      <c r="A34" t="s">
        <v>618</v>
      </c>
      <c r="B34" s="395">
        <v>43116</v>
      </c>
      <c r="C34" t="s">
        <v>23</v>
      </c>
      <c r="D34" t="s">
        <v>24</v>
      </c>
      <c r="G34">
        <v>86</v>
      </c>
    </row>
    <row r="35" spans="1:7" x14ac:dyDescent="0.2">
      <c r="A35" t="s">
        <v>618</v>
      </c>
      <c r="B35" s="395">
        <v>43116</v>
      </c>
      <c r="C35" t="s">
        <v>167</v>
      </c>
      <c r="D35" t="s">
        <v>1149</v>
      </c>
      <c r="G35">
        <v>100</v>
      </c>
    </row>
    <row r="36" spans="1:7" x14ac:dyDescent="0.2">
      <c r="A36" t="s">
        <v>618</v>
      </c>
      <c r="B36" s="395">
        <v>43116</v>
      </c>
      <c r="C36" t="s">
        <v>39</v>
      </c>
      <c r="D36" t="s">
        <v>73</v>
      </c>
      <c r="G36">
        <v>24.31</v>
      </c>
    </row>
    <row r="37" spans="1:7" x14ac:dyDescent="0.2">
      <c r="A37" t="s">
        <v>618</v>
      </c>
      <c r="B37" s="395">
        <v>43116</v>
      </c>
      <c r="C37" t="s">
        <v>39</v>
      </c>
      <c r="D37" t="s">
        <v>73</v>
      </c>
      <c r="G37">
        <v>131.1</v>
      </c>
    </row>
    <row r="38" spans="1:7" x14ac:dyDescent="0.2">
      <c r="A38" t="s">
        <v>618</v>
      </c>
      <c r="B38" s="395">
        <v>43116</v>
      </c>
      <c r="C38" t="s">
        <v>39</v>
      </c>
      <c r="D38" t="s">
        <v>75</v>
      </c>
      <c r="G38">
        <v>100</v>
      </c>
    </row>
    <row r="39" spans="1:7" x14ac:dyDescent="0.2">
      <c r="A39" t="s">
        <v>618</v>
      </c>
      <c r="B39" s="395">
        <v>43116</v>
      </c>
      <c r="C39" t="s">
        <v>20</v>
      </c>
      <c r="D39" t="s">
        <v>21</v>
      </c>
      <c r="G39">
        <v>2252</v>
      </c>
    </row>
    <row r="40" spans="1:7" x14ac:dyDescent="0.2">
      <c r="A40" t="s">
        <v>618</v>
      </c>
      <c r="B40" s="395">
        <v>43116</v>
      </c>
      <c r="C40" t="s">
        <v>28</v>
      </c>
      <c r="D40" t="s">
        <v>29</v>
      </c>
      <c r="G40">
        <v>193.8</v>
      </c>
    </row>
    <row r="41" spans="1:7" x14ac:dyDescent="0.2">
      <c r="A41" t="s">
        <v>618</v>
      </c>
      <c r="B41" s="395">
        <v>43116</v>
      </c>
      <c r="C41" t="s">
        <v>20</v>
      </c>
      <c r="D41" t="s">
        <v>21</v>
      </c>
      <c r="G41">
        <v>1149.532125</v>
      </c>
    </row>
    <row r="42" spans="1:7" x14ac:dyDescent="0.2">
      <c r="A42" t="s">
        <v>618</v>
      </c>
      <c r="B42" s="395">
        <v>43116</v>
      </c>
      <c r="C42" t="s">
        <v>28</v>
      </c>
      <c r="D42" t="s">
        <v>29</v>
      </c>
      <c r="G42">
        <v>1149.532125</v>
      </c>
    </row>
    <row r="43" spans="1:7" x14ac:dyDescent="0.2">
      <c r="A43">
        <v>7217</v>
      </c>
      <c r="B43" s="395">
        <v>43137</v>
      </c>
      <c r="C43" t="s">
        <v>522</v>
      </c>
      <c r="D43" t="s">
        <v>1156</v>
      </c>
      <c r="F43">
        <v>9.3000000000000007</v>
      </c>
    </row>
    <row r="44" spans="1:7" x14ac:dyDescent="0.2">
      <c r="A44">
        <v>7217</v>
      </c>
      <c r="B44" s="395">
        <v>43137</v>
      </c>
      <c r="C44" t="s">
        <v>88</v>
      </c>
      <c r="D44" t="s">
        <v>528</v>
      </c>
      <c r="F44">
        <v>100</v>
      </c>
    </row>
    <row r="45" spans="1:7" x14ac:dyDescent="0.2">
      <c r="A45">
        <v>7218</v>
      </c>
      <c r="B45" s="395">
        <v>43137</v>
      </c>
      <c r="C45" t="s">
        <v>579</v>
      </c>
      <c r="D45" t="s">
        <v>1157</v>
      </c>
      <c r="F45">
        <v>30.72</v>
      </c>
    </row>
    <row r="46" spans="1:7" x14ac:dyDescent="0.2">
      <c r="A46">
        <v>7219</v>
      </c>
      <c r="B46" s="395">
        <v>43137</v>
      </c>
      <c r="C46" t="s">
        <v>565</v>
      </c>
      <c r="D46" t="s">
        <v>1158</v>
      </c>
      <c r="F46">
        <v>171.64</v>
      </c>
    </row>
    <row r="47" spans="1:7" x14ac:dyDescent="0.2">
      <c r="A47">
        <v>7220</v>
      </c>
      <c r="B47" s="395">
        <v>43137</v>
      </c>
      <c r="C47" t="s">
        <v>459</v>
      </c>
      <c r="D47" t="s">
        <v>1159</v>
      </c>
      <c r="F47">
        <v>417.5</v>
      </c>
    </row>
    <row r="48" spans="1:7" x14ac:dyDescent="0.2">
      <c r="A48">
        <v>7221</v>
      </c>
      <c r="B48" s="395">
        <v>43137</v>
      </c>
      <c r="C48" t="s">
        <v>533</v>
      </c>
      <c r="D48" t="s">
        <v>1160</v>
      </c>
      <c r="F48">
        <v>200</v>
      </c>
    </row>
    <row r="49" spans="1:7" x14ac:dyDescent="0.2">
      <c r="A49">
        <v>7222</v>
      </c>
      <c r="B49" s="395">
        <v>43137</v>
      </c>
      <c r="C49" t="s">
        <v>570</v>
      </c>
      <c r="D49" t="s">
        <v>1161</v>
      </c>
      <c r="F49">
        <v>132.19</v>
      </c>
    </row>
    <row r="50" spans="1:7" x14ac:dyDescent="0.2">
      <c r="A50">
        <v>7223</v>
      </c>
      <c r="B50" s="395">
        <v>43137</v>
      </c>
      <c r="C50" t="s">
        <v>88</v>
      </c>
      <c r="D50" t="s">
        <v>1162</v>
      </c>
      <c r="F50">
        <v>19.600000000000001</v>
      </c>
    </row>
    <row r="51" spans="1:7" x14ac:dyDescent="0.2">
      <c r="A51">
        <v>7223</v>
      </c>
      <c r="B51" s="395">
        <v>43137</v>
      </c>
      <c r="C51" t="s">
        <v>522</v>
      </c>
      <c r="D51" t="s">
        <v>1163</v>
      </c>
      <c r="F51">
        <v>50.86</v>
      </c>
    </row>
    <row r="52" spans="1:7" x14ac:dyDescent="0.2">
      <c r="A52">
        <v>7223</v>
      </c>
      <c r="B52" s="395">
        <v>43137</v>
      </c>
      <c r="C52" t="s">
        <v>427</v>
      </c>
      <c r="D52" t="s">
        <v>1164</v>
      </c>
      <c r="F52">
        <v>84.79</v>
      </c>
    </row>
    <row r="53" spans="1:7" x14ac:dyDescent="0.2">
      <c r="A53">
        <v>7224</v>
      </c>
      <c r="B53" s="395">
        <v>43137</v>
      </c>
      <c r="C53" t="s">
        <v>16</v>
      </c>
      <c r="D53" t="s">
        <v>1165</v>
      </c>
      <c r="F53">
        <v>27.55</v>
      </c>
    </row>
    <row r="54" spans="1:7" x14ac:dyDescent="0.2">
      <c r="A54">
        <v>7225</v>
      </c>
      <c r="B54" s="395">
        <v>43137</v>
      </c>
      <c r="C54" t="s">
        <v>533</v>
      </c>
      <c r="D54" t="s">
        <v>1166</v>
      </c>
      <c r="F54">
        <v>975</v>
      </c>
    </row>
    <row r="55" spans="1:7" x14ac:dyDescent="0.2">
      <c r="A55">
        <v>7226</v>
      </c>
      <c r="B55" s="395">
        <v>43137</v>
      </c>
      <c r="C55" t="s">
        <v>51</v>
      </c>
      <c r="D55" t="s">
        <v>1145</v>
      </c>
      <c r="F55">
        <v>48</v>
      </c>
    </row>
    <row r="56" spans="1:7" x14ac:dyDescent="0.2">
      <c r="A56">
        <v>7227</v>
      </c>
      <c r="B56" s="395">
        <v>43137</v>
      </c>
      <c r="C56" t="s">
        <v>586</v>
      </c>
      <c r="D56" t="s">
        <v>22</v>
      </c>
      <c r="F56">
        <v>100</v>
      </c>
    </row>
    <row r="57" spans="1:7" x14ac:dyDescent="0.2">
      <c r="A57">
        <v>7228</v>
      </c>
      <c r="B57" s="395">
        <v>43137</v>
      </c>
      <c r="C57" t="s">
        <v>490</v>
      </c>
      <c r="D57" t="s">
        <v>1167</v>
      </c>
      <c r="F57">
        <v>100</v>
      </c>
    </row>
    <row r="58" spans="1:7" x14ac:dyDescent="0.2">
      <c r="A58">
        <v>7229</v>
      </c>
      <c r="B58" s="395">
        <v>43137</v>
      </c>
      <c r="C58" t="s">
        <v>575</v>
      </c>
      <c r="D58" t="s">
        <v>990</v>
      </c>
      <c r="F58">
        <v>120</v>
      </c>
    </row>
    <row r="59" spans="1:7" x14ac:dyDescent="0.2">
      <c r="A59" t="s">
        <v>618</v>
      </c>
      <c r="B59" s="395">
        <v>43137</v>
      </c>
      <c r="C59" t="s">
        <v>36</v>
      </c>
      <c r="D59" t="s">
        <v>670</v>
      </c>
      <c r="G59">
        <v>30</v>
      </c>
    </row>
    <row r="60" spans="1:7" x14ac:dyDescent="0.2">
      <c r="A60" t="s">
        <v>618</v>
      </c>
      <c r="B60" s="395">
        <v>43137</v>
      </c>
      <c r="C60" t="s">
        <v>20</v>
      </c>
      <c r="D60" t="s">
        <v>671</v>
      </c>
      <c r="G60">
        <v>804</v>
      </c>
    </row>
    <row r="61" spans="1:7" x14ac:dyDescent="0.2">
      <c r="A61" t="s">
        <v>618</v>
      </c>
      <c r="B61" s="395">
        <v>43137</v>
      </c>
      <c r="C61" t="s">
        <v>28</v>
      </c>
      <c r="D61" t="s">
        <v>31</v>
      </c>
      <c r="G61">
        <v>73</v>
      </c>
    </row>
    <row r="62" spans="1:7" x14ac:dyDescent="0.2">
      <c r="A62" t="s">
        <v>618</v>
      </c>
      <c r="B62" s="395">
        <v>43137</v>
      </c>
      <c r="C62" t="s">
        <v>20</v>
      </c>
      <c r="D62" t="s">
        <v>671</v>
      </c>
      <c r="G62">
        <v>642.28937499999995</v>
      </c>
    </row>
    <row r="63" spans="1:7" x14ac:dyDescent="0.2">
      <c r="A63" t="s">
        <v>618</v>
      </c>
      <c r="B63" s="395">
        <v>43137</v>
      </c>
      <c r="C63" t="s">
        <v>28</v>
      </c>
      <c r="D63" t="s">
        <v>31</v>
      </c>
      <c r="G63">
        <v>58.4</v>
      </c>
    </row>
    <row r="64" spans="1:7" x14ac:dyDescent="0.2">
      <c r="A64" t="s">
        <v>618</v>
      </c>
      <c r="B64" s="395">
        <v>43151</v>
      </c>
      <c r="C64" t="s">
        <v>33</v>
      </c>
      <c r="D64" t="s">
        <v>34</v>
      </c>
      <c r="G64">
        <v>46</v>
      </c>
    </row>
    <row r="65" spans="1:7" x14ac:dyDescent="0.2">
      <c r="A65" t="s">
        <v>618</v>
      </c>
      <c r="B65" s="395">
        <v>43151</v>
      </c>
      <c r="C65" t="s">
        <v>26</v>
      </c>
      <c r="D65" t="s">
        <v>27</v>
      </c>
      <c r="G65">
        <v>37</v>
      </c>
    </row>
    <row r="66" spans="1:7" x14ac:dyDescent="0.2">
      <c r="A66" t="s">
        <v>618</v>
      </c>
      <c r="B66" s="395">
        <v>43151</v>
      </c>
      <c r="C66" t="s">
        <v>113</v>
      </c>
      <c r="D66" t="s">
        <v>114</v>
      </c>
      <c r="G66">
        <v>124</v>
      </c>
    </row>
    <row r="67" spans="1:7" x14ac:dyDescent="0.2">
      <c r="A67" t="s">
        <v>618</v>
      </c>
      <c r="B67" s="395">
        <v>43151</v>
      </c>
      <c r="C67" t="s">
        <v>128</v>
      </c>
      <c r="D67" t="s">
        <v>129</v>
      </c>
      <c r="G67">
        <v>897</v>
      </c>
    </row>
    <row r="68" spans="1:7" x14ac:dyDescent="0.2">
      <c r="A68" t="s">
        <v>618</v>
      </c>
      <c r="B68" s="395">
        <v>43151</v>
      </c>
      <c r="C68" t="s">
        <v>128</v>
      </c>
      <c r="D68" t="s">
        <v>129</v>
      </c>
      <c r="G68">
        <v>77.8</v>
      </c>
    </row>
    <row r="69" spans="1:7" x14ac:dyDescent="0.2">
      <c r="A69" t="s">
        <v>618</v>
      </c>
      <c r="B69" s="395">
        <v>43151</v>
      </c>
      <c r="C69" t="s">
        <v>23</v>
      </c>
      <c r="D69" t="s">
        <v>649</v>
      </c>
      <c r="G69">
        <v>597</v>
      </c>
    </row>
    <row r="70" spans="1:7" x14ac:dyDescent="0.2">
      <c r="A70" t="s">
        <v>618</v>
      </c>
      <c r="B70" s="395">
        <v>43151</v>
      </c>
      <c r="C70" t="s">
        <v>39</v>
      </c>
      <c r="D70" t="s">
        <v>1168</v>
      </c>
      <c r="G70">
        <v>14.59</v>
      </c>
    </row>
    <row r="71" spans="1:7" x14ac:dyDescent="0.2">
      <c r="A71" t="s">
        <v>618</v>
      </c>
      <c r="B71" s="395">
        <v>43151</v>
      </c>
      <c r="C71" t="s">
        <v>39</v>
      </c>
      <c r="D71" t="s">
        <v>73</v>
      </c>
      <c r="G71">
        <v>25.88</v>
      </c>
    </row>
    <row r="72" spans="1:7" x14ac:dyDescent="0.2">
      <c r="A72" t="s">
        <v>618</v>
      </c>
      <c r="B72" s="395">
        <v>43151</v>
      </c>
      <c r="C72" t="s">
        <v>39</v>
      </c>
      <c r="D72" t="s">
        <v>73</v>
      </c>
      <c r="G72">
        <v>167.65</v>
      </c>
    </row>
    <row r="73" spans="1:7" x14ac:dyDescent="0.2">
      <c r="A73" t="s">
        <v>618</v>
      </c>
      <c r="B73" s="395">
        <v>43151</v>
      </c>
      <c r="C73" t="s">
        <v>23</v>
      </c>
      <c r="D73" t="s">
        <v>620</v>
      </c>
      <c r="G73">
        <v>41.63</v>
      </c>
    </row>
    <row r="74" spans="1:7" x14ac:dyDescent="0.2">
      <c r="A74" t="s">
        <v>618</v>
      </c>
      <c r="B74" s="395">
        <v>43151</v>
      </c>
      <c r="C74" t="s">
        <v>39</v>
      </c>
      <c r="D74" t="s">
        <v>135</v>
      </c>
      <c r="G74">
        <v>5.19</v>
      </c>
    </row>
    <row r="75" spans="1:7" x14ac:dyDescent="0.2">
      <c r="A75" t="s">
        <v>618</v>
      </c>
      <c r="B75" s="395">
        <v>43151</v>
      </c>
      <c r="C75" t="s">
        <v>20</v>
      </c>
      <c r="D75" t="s">
        <v>671</v>
      </c>
      <c r="G75">
        <v>1015</v>
      </c>
    </row>
    <row r="76" spans="1:7" x14ac:dyDescent="0.2">
      <c r="A76" t="s">
        <v>618</v>
      </c>
      <c r="B76" s="395">
        <v>43151</v>
      </c>
      <c r="C76" t="s">
        <v>28</v>
      </c>
      <c r="D76" t="s">
        <v>31</v>
      </c>
      <c r="G76">
        <v>83.95</v>
      </c>
    </row>
    <row r="77" spans="1:7" x14ac:dyDescent="0.2">
      <c r="A77" t="s">
        <v>618</v>
      </c>
      <c r="B77" s="395">
        <v>43151</v>
      </c>
      <c r="C77" t="s">
        <v>20</v>
      </c>
      <c r="D77" t="s">
        <v>671</v>
      </c>
      <c r="G77">
        <v>153.52850000000001</v>
      </c>
    </row>
    <row r="78" spans="1:7" x14ac:dyDescent="0.2">
      <c r="A78" t="s">
        <v>618</v>
      </c>
      <c r="B78" s="395">
        <v>43151</v>
      </c>
      <c r="C78" t="s">
        <v>28</v>
      </c>
      <c r="D78" t="s">
        <v>31</v>
      </c>
      <c r="G78">
        <v>18.25</v>
      </c>
    </row>
    <row r="79" spans="1:7" x14ac:dyDescent="0.2">
      <c r="A79">
        <v>7230</v>
      </c>
      <c r="B79" s="395">
        <v>43151</v>
      </c>
      <c r="C79" t="s">
        <v>522</v>
      </c>
      <c r="D79" t="s">
        <v>207</v>
      </c>
      <c r="F79">
        <v>82.58</v>
      </c>
    </row>
    <row r="80" spans="1:7" x14ac:dyDescent="0.2">
      <c r="A80">
        <v>7231</v>
      </c>
      <c r="B80" s="395">
        <v>43151</v>
      </c>
      <c r="C80" t="s">
        <v>530</v>
      </c>
      <c r="D80" t="s">
        <v>629</v>
      </c>
      <c r="F80">
        <v>45.69</v>
      </c>
    </row>
    <row r="81" spans="1:6" x14ac:dyDescent="0.2">
      <c r="A81">
        <v>7232</v>
      </c>
      <c r="B81" s="395">
        <v>43151</v>
      </c>
      <c r="C81" t="s">
        <v>16</v>
      </c>
      <c r="D81" t="s">
        <v>108</v>
      </c>
      <c r="F81">
        <v>239.42</v>
      </c>
    </row>
    <row r="82" spans="1:6" x14ac:dyDescent="0.2">
      <c r="A82">
        <v>7233</v>
      </c>
      <c r="B82" s="395">
        <v>43151</v>
      </c>
      <c r="C82" t="s">
        <v>16</v>
      </c>
      <c r="D82" t="s">
        <v>108</v>
      </c>
      <c r="F82">
        <v>229.38</v>
      </c>
    </row>
    <row r="83" spans="1:6" x14ac:dyDescent="0.2">
      <c r="A83">
        <v>7233</v>
      </c>
      <c r="B83" s="395">
        <v>43151</v>
      </c>
      <c r="C83" t="s">
        <v>427</v>
      </c>
      <c r="D83" t="s">
        <v>17</v>
      </c>
      <c r="F83">
        <v>267.94</v>
      </c>
    </row>
    <row r="84" spans="1:6" x14ac:dyDescent="0.2">
      <c r="A84">
        <v>7234</v>
      </c>
      <c r="B84" s="395">
        <v>43151</v>
      </c>
      <c r="C84" t="s">
        <v>51</v>
      </c>
      <c r="D84" t="s">
        <v>1145</v>
      </c>
      <c r="F84">
        <v>14.59</v>
      </c>
    </row>
    <row r="85" spans="1:6" x14ac:dyDescent="0.2">
      <c r="A85">
        <v>7235</v>
      </c>
      <c r="B85" s="395">
        <v>43151</v>
      </c>
      <c r="C85" t="s">
        <v>580</v>
      </c>
      <c r="D85" t="s">
        <v>1169</v>
      </c>
      <c r="F85">
        <v>234.84</v>
      </c>
    </row>
    <row r="86" spans="1:6" x14ac:dyDescent="0.2">
      <c r="A86">
        <v>7236</v>
      </c>
      <c r="B86" s="395">
        <v>43151</v>
      </c>
      <c r="C86" t="s">
        <v>570</v>
      </c>
      <c r="D86" t="s">
        <v>1161</v>
      </c>
      <c r="F86">
        <v>36.64</v>
      </c>
    </row>
    <row r="87" spans="1:6" x14ac:dyDescent="0.2">
      <c r="A87">
        <v>7237</v>
      </c>
      <c r="B87" s="395">
        <v>43151</v>
      </c>
      <c r="C87" t="s">
        <v>107</v>
      </c>
      <c r="D87" t="s">
        <v>706</v>
      </c>
      <c r="F87">
        <v>53.23</v>
      </c>
    </row>
    <row r="88" spans="1:6" x14ac:dyDescent="0.2">
      <c r="A88">
        <v>7238</v>
      </c>
      <c r="B88" s="395">
        <v>43165</v>
      </c>
      <c r="C88" t="s">
        <v>533</v>
      </c>
      <c r="D88" t="s">
        <v>1170</v>
      </c>
      <c r="F88">
        <v>4000</v>
      </c>
    </row>
    <row r="89" spans="1:6" x14ac:dyDescent="0.2">
      <c r="A89">
        <v>7239</v>
      </c>
      <c r="B89" s="395">
        <v>43165</v>
      </c>
      <c r="C89" t="s">
        <v>109</v>
      </c>
      <c r="D89" t="s">
        <v>1171</v>
      </c>
      <c r="F89">
        <v>524.69000000000005</v>
      </c>
    </row>
    <row r="90" spans="1:6" x14ac:dyDescent="0.2">
      <c r="A90">
        <v>7240</v>
      </c>
      <c r="B90" s="395">
        <v>43165</v>
      </c>
      <c r="C90" t="s">
        <v>570</v>
      </c>
      <c r="D90" t="s">
        <v>1161</v>
      </c>
      <c r="F90">
        <v>133.38</v>
      </c>
    </row>
    <row r="91" spans="1:6" x14ac:dyDescent="0.2">
      <c r="A91">
        <v>7241</v>
      </c>
      <c r="B91" s="395">
        <v>43165</v>
      </c>
      <c r="C91" t="s">
        <v>63</v>
      </c>
      <c r="D91" t="s">
        <v>1172</v>
      </c>
      <c r="F91">
        <v>2043</v>
      </c>
    </row>
    <row r="92" spans="1:6" x14ac:dyDescent="0.2">
      <c r="A92">
        <v>7242</v>
      </c>
      <c r="B92" s="395">
        <v>43165</v>
      </c>
      <c r="C92" t="s">
        <v>565</v>
      </c>
      <c r="D92" t="s">
        <v>1158</v>
      </c>
      <c r="F92">
        <v>25.91</v>
      </c>
    </row>
    <row r="93" spans="1:6" x14ac:dyDescent="0.2">
      <c r="A93">
        <v>7243</v>
      </c>
      <c r="B93" s="395">
        <v>43165</v>
      </c>
      <c r="C93" t="s">
        <v>580</v>
      </c>
      <c r="D93" t="s">
        <v>1173</v>
      </c>
      <c r="F93">
        <v>250</v>
      </c>
    </row>
    <row r="94" spans="1:6" x14ac:dyDescent="0.2">
      <c r="A94">
        <v>7244</v>
      </c>
      <c r="B94" s="395">
        <v>43165</v>
      </c>
      <c r="C94" t="s">
        <v>490</v>
      </c>
      <c r="D94" t="s">
        <v>1174</v>
      </c>
      <c r="F94">
        <v>110</v>
      </c>
    </row>
    <row r="95" spans="1:6" x14ac:dyDescent="0.2">
      <c r="A95">
        <v>7245</v>
      </c>
      <c r="B95" s="395">
        <v>43165</v>
      </c>
      <c r="C95" t="s">
        <v>684</v>
      </c>
      <c r="D95" t="s">
        <v>673</v>
      </c>
      <c r="F95">
        <v>350</v>
      </c>
    </row>
    <row r="96" spans="1:6" x14ac:dyDescent="0.2">
      <c r="A96">
        <v>7246</v>
      </c>
      <c r="B96" s="395">
        <v>43165</v>
      </c>
      <c r="C96" t="s">
        <v>575</v>
      </c>
      <c r="D96" t="s">
        <v>1175</v>
      </c>
      <c r="F96">
        <v>585</v>
      </c>
    </row>
    <row r="97" spans="1:7" x14ac:dyDescent="0.2">
      <c r="A97" t="s">
        <v>618</v>
      </c>
      <c r="B97" s="395">
        <v>43165</v>
      </c>
      <c r="C97" t="s">
        <v>20</v>
      </c>
      <c r="D97" t="s">
        <v>671</v>
      </c>
      <c r="G97">
        <v>179.41062500000001</v>
      </c>
    </row>
    <row r="98" spans="1:7" x14ac:dyDescent="0.2">
      <c r="A98" t="s">
        <v>618</v>
      </c>
      <c r="B98" s="395">
        <v>43165</v>
      </c>
      <c r="C98" t="s">
        <v>23</v>
      </c>
      <c r="D98" t="s">
        <v>649</v>
      </c>
      <c r="G98">
        <v>148</v>
      </c>
    </row>
    <row r="99" spans="1:7" x14ac:dyDescent="0.2">
      <c r="A99" t="s">
        <v>618</v>
      </c>
      <c r="B99" s="395">
        <v>43165</v>
      </c>
      <c r="C99" t="s">
        <v>26</v>
      </c>
      <c r="D99" t="s">
        <v>27</v>
      </c>
      <c r="G99">
        <v>34</v>
      </c>
    </row>
    <row r="100" spans="1:7" x14ac:dyDescent="0.2">
      <c r="A100" t="s">
        <v>618</v>
      </c>
      <c r="B100" s="395">
        <v>43165</v>
      </c>
      <c r="C100" t="s">
        <v>20</v>
      </c>
      <c r="D100" t="s">
        <v>671</v>
      </c>
      <c r="G100">
        <v>30</v>
      </c>
    </row>
    <row r="101" spans="1:7" x14ac:dyDescent="0.2">
      <c r="A101" t="s">
        <v>618</v>
      </c>
      <c r="B101" s="395">
        <v>43165</v>
      </c>
      <c r="C101" t="s">
        <v>33</v>
      </c>
      <c r="D101" t="s">
        <v>34</v>
      </c>
      <c r="G101">
        <v>21</v>
      </c>
    </row>
    <row r="102" spans="1:7" x14ac:dyDescent="0.2">
      <c r="A102" t="s">
        <v>618</v>
      </c>
      <c r="B102" s="395">
        <v>43165</v>
      </c>
      <c r="C102" t="s">
        <v>33</v>
      </c>
      <c r="D102" t="s">
        <v>31</v>
      </c>
      <c r="G102">
        <v>18.25</v>
      </c>
    </row>
    <row r="103" spans="1:7" x14ac:dyDescent="0.2">
      <c r="A103" t="s">
        <v>618</v>
      </c>
      <c r="B103" s="395">
        <v>43165</v>
      </c>
      <c r="C103" t="s">
        <v>36</v>
      </c>
      <c r="D103" t="s">
        <v>670</v>
      </c>
      <c r="G103">
        <v>15</v>
      </c>
    </row>
    <row r="104" spans="1:7" x14ac:dyDescent="0.2">
      <c r="A104" t="s">
        <v>618</v>
      </c>
      <c r="B104" s="395">
        <v>43179</v>
      </c>
      <c r="C104" t="s">
        <v>147</v>
      </c>
      <c r="D104" t="s">
        <v>663</v>
      </c>
      <c r="G104">
        <v>2390</v>
      </c>
    </row>
    <row r="105" spans="1:7" x14ac:dyDescent="0.2">
      <c r="A105" t="s">
        <v>618</v>
      </c>
      <c r="B105" s="395">
        <v>43179</v>
      </c>
      <c r="C105" t="s">
        <v>23</v>
      </c>
      <c r="D105" t="s">
        <v>649</v>
      </c>
      <c r="G105">
        <v>712</v>
      </c>
    </row>
    <row r="106" spans="1:7" x14ac:dyDescent="0.2">
      <c r="A106" t="s">
        <v>618</v>
      </c>
      <c r="B106" s="395">
        <v>43179</v>
      </c>
      <c r="C106" t="s">
        <v>128</v>
      </c>
      <c r="D106" t="s">
        <v>129</v>
      </c>
      <c r="G106">
        <v>643</v>
      </c>
    </row>
    <row r="107" spans="1:7" x14ac:dyDescent="0.2">
      <c r="A107" t="s">
        <v>618</v>
      </c>
      <c r="B107" s="395">
        <v>43179</v>
      </c>
      <c r="C107" t="s">
        <v>39</v>
      </c>
      <c r="D107" t="s">
        <v>1176</v>
      </c>
      <c r="G107">
        <v>330.09</v>
      </c>
    </row>
    <row r="108" spans="1:7" x14ac:dyDescent="0.2">
      <c r="A108" t="s">
        <v>618</v>
      </c>
      <c r="B108" s="395">
        <v>43179</v>
      </c>
      <c r="C108" t="s">
        <v>20</v>
      </c>
      <c r="D108" t="s">
        <v>671</v>
      </c>
      <c r="G108">
        <v>287.157375</v>
      </c>
    </row>
    <row r="109" spans="1:7" x14ac:dyDescent="0.2">
      <c r="A109" t="s">
        <v>618</v>
      </c>
      <c r="B109" s="395">
        <v>43179</v>
      </c>
      <c r="C109" t="s">
        <v>23</v>
      </c>
      <c r="D109" t="s">
        <v>649</v>
      </c>
      <c r="G109">
        <v>148</v>
      </c>
    </row>
    <row r="110" spans="1:7" x14ac:dyDescent="0.2">
      <c r="A110" t="s">
        <v>618</v>
      </c>
      <c r="B110" s="395">
        <v>43179</v>
      </c>
      <c r="C110" t="s">
        <v>113</v>
      </c>
      <c r="D110" t="s">
        <v>114</v>
      </c>
      <c r="G110">
        <v>116</v>
      </c>
    </row>
    <row r="111" spans="1:7" x14ac:dyDescent="0.2">
      <c r="A111" t="s">
        <v>618</v>
      </c>
      <c r="B111" s="395">
        <v>43179</v>
      </c>
      <c r="C111" t="s">
        <v>33</v>
      </c>
      <c r="D111" t="s">
        <v>31</v>
      </c>
      <c r="G111">
        <v>50.1</v>
      </c>
    </row>
    <row r="112" spans="1:7" x14ac:dyDescent="0.2">
      <c r="A112" t="s">
        <v>618</v>
      </c>
      <c r="B112" s="395">
        <v>43179</v>
      </c>
      <c r="C112" t="s">
        <v>26</v>
      </c>
      <c r="D112" t="s">
        <v>27</v>
      </c>
      <c r="G112">
        <v>34</v>
      </c>
    </row>
    <row r="113" spans="1:7" x14ac:dyDescent="0.2">
      <c r="A113" t="s">
        <v>618</v>
      </c>
      <c r="B113" s="395">
        <v>43179</v>
      </c>
      <c r="C113" t="s">
        <v>20</v>
      </c>
      <c r="D113" t="s">
        <v>1141</v>
      </c>
      <c r="G113">
        <v>30</v>
      </c>
    </row>
    <row r="114" spans="1:7" x14ac:dyDescent="0.2">
      <c r="A114" t="s">
        <v>618</v>
      </c>
      <c r="B114" s="395">
        <v>43179</v>
      </c>
      <c r="C114" t="s">
        <v>33</v>
      </c>
      <c r="D114" t="s">
        <v>31</v>
      </c>
      <c r="G114">
        <v>25.55</v>
      </c>
    </row>
    <row r="115" spans="1:7" x14ac:dyDescent="0.2">
      <c r="A115" t="s">
        <v>618</v>
      </c>
      <c r="B115" s="395">
        <v>43179</v>
      </c>
      <c r="C115" t="s">
        <v>33</v>
      </c>
      <c r="D115" t="s">
        <v>34</v>
      </c>
      <c r="G115">
        <v>21</v>
      </c>
    </row>
    <row r="116" spans="1:7" x14ac:dyDescent="0.2">
      <c r="A116" t="s">
        <v>618</v>
      </c>
      <c r="B116" s="395">
        <v>43179</v>
      </c>
      <c r="C116" t="s">
        <v>36</v>
      </c>
      <c r="D116" t="s">
        <v>670</v>
      </c>
      <c r="G116">
        <v>15</v>
      </c>
    </row>
    <row r="117" spans="1:7" x14ac:dyDescent="0.2">
      <c r="A117" t="s">
        <v>618</v>
      </c>
      <c r="B117" s="395">
        <v>43179</v>
      </c>
      <c r="C117" t="s">
        <v>20</v>
      </c>
      <c r="D117" t="s">
        <v>671</v>
      </c>
      <c r="G117">
        <v>3</v>
      </c>
    </row>
    <row r="118" spans="1:7" x14ac:dyDescent="0.2">
      <c r="A118" t="s">
        <v>618</v>
      </c>
      <c r="B118" s="395">
        <v>43179</v>
      </c>
      <c r="C118" t="s">
        <v>39</v>
      </c>
      <c r="D118" t="s">
        <v>73</v>
      </c>
      <c r="G118">
        <v>0.7</v>
      </c>
    </row>
    <row r="119" spans="1:7" x14ac:dyDescent="0.2">
      <c r="A119">
        <v>7247</v>
      </c>
      <c r="B119" s="395">
        <v>43179</v>
      </c>
      <c r="C119" t="s">
        <v>427</v>
      </c>
      <c r="D119" t="s">
        <v>17</v>
      </c>
      <c r="F119">
        <v>246.45</v>
      </c>
    </row>
    <row r="120" spans="1:7" x14ac:dyDescent="0.2">
      <c r="A120">
        <v>7248</v>
      </c>
      <c r="B120" s="395">
        <v>43179</v>
      </c>
      <c r="C120" t="s">
        <v>16</v>
      </c>
      <c r="D120" t="s">
        <v>648</v>
      </c>
      <c r="F120">
        <v>45.01</v>
      </c>
    </row>
    <row r="121" spans="1:7" x14ac:dyDescent="0.2">
      <c r="A121">
        <v>7248</v>
      </c>
      <c r="B121" s="395">
        <v>43179</v>
      </c>
      <c r="C121" t="s">
        <v>16</v>
      </c>
      <c r="D121" t="s">
        <v>1177</v>
      </c>
      <c r="F121">
        <v>435.33</v>
      </c>
    </row>
    <row r="122" spans="1:7" x14ac:dyDescent="0.2">
      <c r="A122">
        <v>7249</v>
      </c>
      <c r="B122" s="395">
        <v>43179</v>
      </c>
      <c r="C122" t="s">
        <v>530</v>
      </c>
      <c r="D122" t="s">
        <v>629</v>
      </c>
      <c r="F122">
        <v>48.95</v>
      </c>
    </row>
    <row r="123" spans="1:7" x14ac:dyDescent="0.2">
      <c r="A123">
        <v>7250</v>
      </c>
      <c r="B123" s="395">
        <v>43179</v>
      </c>
      <c r="C123" t="s">
        <v>113</v>
      </c>
      <c r="D123" t="s">
        <v>97</v>
      </c>
      <c r="F123">
        <v>0</v>
      </c>
      <c r="G123">
        <v>97.08</v>
      </c>
    </row>
    <row r="124" spans="1:7" x14ac:dyDescent="0.2">
      <c r="A124">
        <v>7251</v>
      </c>
      <c r="B124" s="395">
        <v>43179</v>
      </c>
      <c r="C124" t="s">
        <v>193</v>
      </c>
      <c r="D124" t="s">
        <v>1178</v>
      </c>
      <c r="F124">
        <v>107</v>
      </c>
    </row>
    <row r="125" spans="1:7" x14ac:dyDescent="0.2">
      <c r="A125">
        <v>7252</v>
      </c>
      <c r="B125" s="395">
        <v>43179</v>
      </c>
      <c r="C125" t="s">
        <v>566</v>
      </c>
      <c r="D125" t="s">
        <v>1179</v>
      </c>
      <c r="F125">
        <v>190.5</v>
      </c>
    </row>
    <row r="126" spans="1:7" x14ac:dyDescent="0.2">
      <c r="A126">
        <v>7253</v>
      </c>
      <c r="B126" s="395">
        <v>43179</v>
      </c>
      <c r="C126" t="s">
        <v>586</v>
      </c>
      <c r="D126" t="s">
        <v>1180</v>
      </c>
      <c r="F126">
        <v>100</v>
      </c>
    </row>
    <row r="127" spans="1:7" x14ac:dyDescent="0.2">
      <c r="A127">
        <v>7254</v>
      </c>
      <c r="B127" s="395">
        <v>43193</v>
      </c>
      <c r="C127" t="s">
        <v>570</v>
      </c>
      <c r="D127" t="s">
        <v>1161</v>
      </c>
      <c r="F127">
        <v>135.74</v>
      </c>
    </row>
    <row r="128" spans="1:7" x14ac:dyDescent="0.2">
      <c r="A128">
        <v>7255</v>
      </c>
      <c r="B128" s="395">
        <v>43193</v>
      </c>
      <c r="C128" t="s">
        <v>193</v>
      </c>
      <c r="D128" t="s">
        <v>1181</v>
      </c>
      <c r="F128">
        <v>119.4</v>
      </c>
    </row>
    <row r="129" spans="1:7" x14ac:dyDescent="0.2">
      <c r="A129">
        <v>7256</v>
      </c>
      <c r="B129" s="395">
        <v>43193</v>
      </c>
      <c r="C129" t="s">
        <v>584</v>
      </c>
      <c r="D129" t="s">
        <v>1182</v>
      </c>
      <c r="F129">
        <v>88.52</v>
      </c>
    </row>
    <row r="130" spans="1:7" x14ac:dyDescent="0.2">
      <c r="A130">
        <v>7257</v>
      </c>
      <c r="B130" s="395">
        <v>43193</v>
      </c>
      <c r="C130" t="s">
        <v>490</v>
      </c>
      <c r="D130" t="s">
        <v>1174</v>
      </c>
      <c r="F130">
        <v>400</v>
      </c>
    </row>
    <row r="131" spans="1:7" x14ac:dyDescent="0.2">
      <c r="A131">
        <v>7258</v>
      </c>
      <c r="B131" s="395">
        <v>43193</v>
      </c>
      <c r="C131" t="s">
        <v>586</v>
      </c>
      <c r="D131" t="s">
        <v>18</v>
      </c>
      <c r="F131">
        <v>100</v>
      </c>
    </row>
    <row r="132" spans="1:7" x14ac:dyDescent="0.2">
      <c r="A132">
        <v>7259</v>
      </c>
      <c r="B132" s="395">
        <v>43193</v>
      </c>
      <c r="C132" t="s">
        <v>588</v>
      </c>
      <c r="D132" t="s">
        <v>1183</v>
      </c>
      <c r="F132">
        <v>2000</v>
      </c>
    </row>
    <row r="133" spans="1:7" x14ac:dyDescent="0.2">
      <c r="A133" t="s">
        <v>618</v>
      </c>
      <c r="B133" s="395">
        <v>43207</v>
      </c>
      <c r="C133" t="s">
        <v>26</v>
      </c>
      <c r="D133" t="s">
        <v>671</v>
      </c>
      <c r="G133">
        <v>0</v>
      </c>
    </row>
    <row r="134" spans="1:7" x14ac:dyDescent="0.2">
      <c r="A134" t="s">
        <v>618</v>
      </c>
      <c r="B134" s="395">
        <v>43207</v>
      </c>
      <c r="C134" t="s">
        <v>20</v>
      </c>
      <c r="D134" t="s">
        <v>671</v>
      </c>
      <c r="G134">
        <v>0</v>
      </c>
    </row>
    <row r="135" spans="1:7" x14ac:dyDescent="0.2">
      <c r="A135" t="s">
        <v>618</v>
      </c>
      <c r="B135" s="395">
        <v>43207</v>
      </c>
      <c r="C135" t="s">
        <v>28</v>
      </c>
      <c r="D135" t="s">
        <v>31</v>
      </c>
      <c r="G135">
        <v>0</v>
      </c>
    </row>
    <row r="136" spans="1:7" x14ac:dyDescent="0.2">
      <c r="A136" t="s">
        <v>618</v>
      </c>
      <c r="B136" s="395">
        <v>43207</v>
      </c>
      <c r="C136" t="s">
        <v>28</v>
      </c>
      <c r="D136" t="s">
        <v>31</v>
      </c>
      <c r="G136">
        <v>0</v>
      </c>
    </row>
    <row r="137" spans="1:7" x14ac:dyDescent="0.2">
      <c r="A137" t="s">
        <v>618</v>
      </c>
      <c r="B137" s="395">
        <v>43207</v>
      </c>
      <c r="C137" t="s">
        <v>128</v>
      </c>
      <c r="D137" t="s">
        <v>129</v>
      </c>
      <c r="G137">
        <v>0</v>
      </c>
    </row>
    <row r="138" spans="1:7" x14ac:dyDescent="0.2">
      <c r="A138" t="s">
        <v>618</v>
      </c>
      <c r="B138" s="395">
        <v>43207</v>
      </c>
      <c r="C138" t="s">
        <v>128</v>
      </c>
      <c r="D138" t="s">
        <v>129</v>
      </c>
      <c r="G138">
        <v>0</v>
      </c>
    </row>
    <row r="139" spans="1:7" x14ac:dyDescent="0.2">
      <c r="A139" t="s">
        <v>618</v>
      </c>
      <c r="B139" s="395">
        <v>43207</v>
      </c>
      <c r="C139" t="s">
        <v>39</v>
      </c>
      <c r="D139" t="s">
        <v>73</v>
      </c>
      <c r="G139">
        <v>0.59712500000000002</v>
      </c>
    </row>
    <row r="140" spans="1:7" x14ac:dyDescent="0.2">
      <c r="A140" t="s">
        <v>618</v>
      </c>
      <c r="B140" s="395">
        <v>43207</v>
      </c>
      <c r="C140" t="s">
        <v>39</v>
      </c>
      <c r="D140" t="s">
        <v>73</v>
      </c>
      <c r="G140">
        <v>0.7</v>
      </c>
    </row>
    <row r="141" spans="1:7" x14ac:dyDescent="0.2">
      <c r="A141" t="s">
        <v>618</v>
      </c>
      <c r="B141" s="395">
        <v>43207</v>
      </c>
      <c r="C141" t="s">
        <v>33</v>
      </c>
      <c r="D141" t="s">
        <v>34</v>
      </c>
      <c r="G141">
        <v>22</v>
      </c>
    </row>
    <row r="142" spans="1:7" x14ac:dyDescent="0.2">
      <c r="A142" t="s">
        <v>618</v>
      </c>
      <c r="B142" s="395">
        <v>43207</v>
      </c>
      <c r="C142" t="s">
        <v>26</v>
      </c>
      <c r="D142" t="s">
        <v>27</v>
      </c>
      <c r="G142">
        <v>22</v>
      </c>
    </row>
    <row r="143" spans="1:7" x14ac:dyDescent="0.2">
      <c r="A143" t="s">
        <v>618</v>
      </c>
      <c r="B143" s="395">
        <v>43207</v>
      </c>
      <c r="C143" t="s">
        <v>23</v>
      </c>
      <c r="D143" t="s">
        <v>620</v>
      </c>
      <c r="G143">
        <v>23.96</v>
      </c>
    </row>
    <row r="144" spans="1:7" x14ac:dyDescent="0.2">
      <c r="A144" t="s">
        <v>618</v>
      </c>
      <c r="B144" s="395">
        <v>43207</v>
      </c>
      <c r="C144" t="s">
        <v>33</v>
      </c>
      <c r="D144" t="s">
        <v>34</v>
      </c>
      <c r="G144">
        <v>30</v>
      </c>
    </row>
    <row r="145" spans="1:7" x14ac:dyDescent="0.2">
      <c r="A145" t="s">
        <v>618</v>
      </c>
      <c r="B145" s="395">
        <v>43207</v>
      </c>
      <c r="C145" t="s">
        <v>28</v>
      </c>
      <c r="D145" t="s">
        <v>31</v>
      </c>
      <c r="G145">
        <v>32.75</v>
      </c>
    </row>
    <row r="146" spans="1:7" x14ac:dyDescent="0.2">
      <c r="A146" t="s">
        <v>618</v>
      </c>
      <c r="B146" s="395">
        <v>43207</v>
      </c>
      <c r="C146" t="s">
        <v>28</v>
      </c>
      <c r="D146" t="s">
        <v>31</v>
      </c>
      <c r="G146">
        <v>32.85</v>
      </c>
    </row>
    <row r="147" spans="1:7" x14ac:dyDescent="0.2">
      <c r="A147" t="s">
        <v>618</v>
      </c>
      <c r="B147" s="395">
        <v>43207</v>
      </c>
      <c r="C147" t="s">
        <v>113</v>
      </c>
      <c r="D147" t="s">
        <v>114</v>
      </c>
      <c r="G147">
        <v>47</v>
      </c>
    </row>
    <row r="148" spans="1:7" x14ac:dyDescent="0.2">
      <c r="A148" t="s">
        <v>618</v>
      </c>
      <c r="B148" s="395">
        <v>43207</v>
      </c>
      <c r="C148" t="s">
        <v>113</v>
      </c>
      <c r="D148" t="s">
        <v>114</v>
      </c>
      <c r="G148">
        <v>52</v>
      </c>
    </row>
    <row r="149" spans="1:7" x14ac:dyDescent="0.2">
      <c r="A149" t="s">
        <v>618</v>
      </c>
      <c r="B149" s="395">
        <v>43207</v>
      </c>
      <c r="C149" t="s">
        <v>26</v>
      </c>
      <c r="D149" t="s">
        <v>27</v>
      </c>
      <c r="G149">
        <v>89</v>
      </c>
    </row>
    <row r="150" spans="1:7" x14ac:dyDescent="0.2">
      <c r="A150" t="s">
        <v>618</v>
      </c>
      <c r="B150" s="395">
        <v>43207</v>
      </c>
      <c r="C150" t="s">
        <v>682</v>
      </c>
      <c r="D150" t="s">
        <v>82</v>
      </c>
      <c r="G150">
        <v>145.875</v>
      </c>
    </row>
    <row r="151" spans="1:7" x14ac:dyDescent="0.2">
      <c r="A151" t="s">
        <v>618</v>
      </c>
      <c r="B151" s="395">
        <v>43207</v>
      </c>
      <c r="C151" t="s">
        <v>20</v>
      </c>
      <c r="D151" t="s">
        <v>671</v>
      </c>
      <c r="G151">
        <v>298</v>
      </c>
    </row>
    <row r="152" spans="1:7" x14ac:dyDescent="0.2">
      <c r="A152" t="s">
        <v>618</v>
      </c>
      <c r="B152" s="395">
        <v>43207</v>
      </c>
      <c r="C152" t="s">
        <v>20</v>
      </c>
      <c r="D152" t="s">
        <v>671</v>
      </c>
      <c r="G152">
        <v>388.40122500000001</v>
      </c>
    </row>
    <row r="153" spans="1:7" x14ac:dyDescent="0.2">
      <c r="A153" t="s">
        <v>618</v>
      </c>
      <c r="B153" s="395">
        <v>43207</v>
      </c>
      <c r="C153" t="s">
        <v>155</v>
      </c>
      <c r="D153" t="s">
        <v>157</v>
      </c>
      <c r="G153">
        <v>407</v>
      </c>
    </row>
    <row r="154" spans="1:7" x14ac:dyDescent="0.2">
      <c r="A154">
        <v>7260</v>
      </c>
      <c r="B154" s="395">
        <v>43207</v>
      </c>
      <c r="C154" t="s">
        <v>88</v>
      </c>
      <c r="D154" t="s">
        <v>1184</v>
      </c>
      <c r="F154">
        <v>100</v>
      </c>
    </row>
    <row r="155" spans="1:7" x14ac:dyDescent="0.2">
      <c r="A155">
        <v>7261</v>
      </c>
      <c r="B155" s="395">
        <v>43207</v>
      </c>
      <c r="C155" t="s">
        <v>522</v>
      </c>
      <c r="D155" t="s">
        <v>207</v>
      </c>
      <c r="F155">
        <v>32.729999999999997</v>
      </c>
    </row>
    <row r="156" spans="1:7" x14ac:dyDescent="0.2">
      <c r="A156">
        <v>7262</v>
      </c>
      <c r="B156" s="395">
        <v>43207</v>
      </c>
      <c r="C156" t="s">
        <v>530</v>
      </c>
      <c r="D156" t="s">
        <v>629</v>
      </c>
      <c r="F156">
        <v>48.95</v>
      </c>
    </row>
    <row r="157" spans="1:7" x14ac:dyDescent="0.2">
      <c r="A157">
        <v>7263</v>
      </c>
      <c r="B157" s="395">
        <v>43207</v>
      </c>
      <c r="C157" t="s">
        <v>88</v>
      </c>
      <c r="D157" t="s">
        <v>1185</v>
      </c>
      <c r="F157">
        <v>136</v>
      </c>
    </row>
    <row r="158" spans="1:7" x14ac:dyDescent="0.2">
      <c r="A158">
        <v>7264</v>
      </c>
      <c r="B158" s="395">
        <v>43207</v>
      </c>
      <c r="C158" t="s">
        <v>565</v>
      </c>
      <c r="D158" t="s">
        <v>1158</v>
      </c>
      <c r="F158">
        <v>55.27</v>
      </c>
    </row>
    <row r="159" spans="1:7" x14ac:dyDescent="0.2">
      <c r="A159">
        <v>7265</v>
      </c>
      <c r="B159" s="395">
        <v>43207</v>
      </c>
      <c r="C159" t="s">
        <v>51</v>
      </c>
      <c r="D159" t="s">
        <v>1145</v>
      </c>
      <c r="F159">
        <v>24.31</v>
      </c>
    </row>
    <row r="160" spans="1:7" x14ac:dyDescent="0.2">
      <c r="A160">
        <v>7266</v>
      </c>
      <c r="B160" s="395">
        <v>43207</v>
      </c>
      <c r="C160" t="s">
        <v>570</v>
      </c>
      <c r="D160" t="s">
        <v>1161</v>
      </c>
      <c r="F160">
        <v>48.87</v>
      </c>
    </row>
    <row r="161" spans="1:6" x14ac:dyDescent="0.2">
      <c r="A161">
        <v>7267</v>
      </c>
      <c r="B161" s="395">
        <v>43207</v>
      </c>
      <c r="C161" t="s">
        <v>570</v>
      </c>
      <c r="D161" t="s">
        <v>1186</v>
      </c>
      <c r="F161">
        <v>87.76</v>
      </c>
    </row>
    <row r="162" spans="1:6" x14ac:dyDescent="0.2">
      <c r="A162">
        <v>7267</v>
      </c>
      <c r="B162" s="395">
        <v>43207</v>
      </c>
      <c r="C162" t="s">
        <v>427</v>
      </c>
      <c r="D162" t="s">
        <v>1164</v>
      </c>
      <c r="F162">
        <v>252.86</v>
      </c>
    </row>
    <row r="163" spans="1:6" x14ac:dyDescent="0.2">
      <c r="A163">
        <v>7267</v>
      </c>
      <c r="B163" s="395">
        <v>43207</v>
      </c>
      <c r="C163" t="s">
        <v>16</v>
      </c>
      <c r="D163" t="s">
        <v>1177</v>
      </c>
      <c r="F163">
        <v>341.04</v>
      </c>
    </row>
    <row r="164" spans="1:6" x14ac:dyDescent="0.2">
      <c r="A164">
        <v>7268</v>
      </c>
      <c r="B164" s="395">
        <v>43207</v>
      </c>
      <c r="C164" t="s">
        <v>16</v>
      </c>
      <c r="D164" t="s">
        <v>1187</v>
      </c>
      <c r="F164">
        <v>31.43</v>
      </c>
    </row>
    <row r="165" spans="1:6" x14ac:dyDescent="0.2">
      <c r="A165">
        <v>7268</v>
      </c>
      <c r="B165" s="395">
        <v>43207</v>
      </c>
      <c r="C165" t="s">
        <v>16</v>
      </c>
      <c r="D165" t="s">
        <v>1177</v>
      </c>
      <c r="F165">
        <v>137.37</v>
      </c>
    </row>
    <row r="166" spans="1:6" x14ac:dyDescent="0.2">
      <c r="A166">
        <v>7269</v>
      </c>
      <c r="B166" s="395">
        <v>43207</v>
      </c>
      <c r="C166" t="s">
        <v>109</v>
      </c>
      <c r="D166" t="s">
        <v>1188</v>
      </c>
      <c r="F166">
        <v>237.09</v>
      </c>
    </row>
    <row r="167" spans="1:6" x14ac:dyDescent="0.2">
      <c r="A167">
        <v>7270</v>
      </c>
      <c r="B167" s="395">
        <v>43207</v>
      </c>
      <c r="C167" t="s">
        <v>109</v>
      </c>
      <c r="D167" t="s">
        <v>870</v>
      </c>
      <c r="F167">
        <v>141.5</v>
      </c>
    </row>
    <row r="168" spans="1:6" x14ac:dyDescent="0.2">
      <c r="A168">
        <v>7271</v>
      </c>
      <c r="B168" s="395">
        <v>43207</v>
      </c>
      <c r="C168" t="s">
        <v>584</v>
      </c>
      <c r="D168" t="s">
        <v>1189</v>
      </c>
      <c r="F168">
        <v>149.88</v>
      </c>
    </row>
    <row r="169" spans="1:6" x14ac:dyDescent="0.2">
      <c r="A169">
        <v>7272</v>
      </c>
      <c r="B169" s="395">
        <v>43207</v>
      </c>
      <c r="C169" t="s">
        <v>581</v>
      </c>
      <c r="D169" t="s">
        <v>183</v>
      </c>
      <c r="F169">
        <v>500</v>
      </c>
    </row>
    <row r="170" spans="1:6" x14ac:dyDescent="0.2">
      <c r="A170">
        <v>7273</v>
      </c>
      <c r="B170" s="395">
        <v>43207</v>
      </c>
      <c r="C170" t="s">
        <v>107</v>
      </c>
      <c r="D170" t="s">
        <v>706</v>
      </c>
      <c r="F170">
        <v>60.59</v>
      </c>
    </row>
    <row r="171" spans="1:6" x14ac:dyDescent="0.2">
      <c r="A171">
        <v>7274</v>
      </c>
      <c r="B171" s="395">
        <v>43221</v>
      </c>
      <c r="C171" t="s">
        <v>63</v>
      </c>
      <c r="D171" t="s">
        <v>1190</v>
      </c>
      <c r="F171">
        <v>3000</v>
      </c>
    </row>
    <row r="172" spans="1:6" x14ac:dyDescent="0.2">
      <c r="A172">
        <v>7275</v>
      </c>
      <c r="B172" s="395">
        <v>43221</v>
      </c>
      <c r="C172" t="s">
        <v>570</v>
      </c>
      <c r="D172" t="s">
        <v>1186</v>
      </c>
      <c r="F172">
        <v>84.06</v>
      </c>
    </row>
    <row r="173" spans="1:6" x14ac:dyDescent="0.2">
      <c r="A173">
        <v>7275</v>
      </c>
      <c r="B173" s="395">
        <v>43221</v>
      </c>
      <c r="C173" t="s">
        <v>565</v>
      </c>
      <c r="D173" t="s">
        <v>926</v>
      </c>
      <c r="F173">
        <v>10</v>
      </c>
    </row>
    <row r="174" spans="1:6" x14ac:dyDescent="0.2">
      <c r="A174">
        <v>7276</v>
      </c>
      <c r="B174" s="395">
        <v>43221</v>
      </c>
      <c r="C174" t="s">
        <v>565</v>
      </c>
      <c r="D174" t="s">
        <v>926</v>
      </c>
      <c r="F174">
        <v>16.41</v>
      </c>
    </row>
    <row r="175" spans="1:6" x14ac:dyDescent="0.2">
      <c r="A175">
        <v>7277</v>
      </c>
      <c r="B175" s="395">
        <v>43221</v>
      </c>
      <c r="C175" t="s">
        <v>565</v>
      </c>
      <c r="D175" t="s">
        <v>926</v>
      </c>
      <c r="F175">
        <v>10.56</v>
      </c>
    </row>
    <row r="176" spans="1:6" x14ac:dyDescent="0.2">
      <c r="A176">
        <v>7278</v>
      </c>
      <c r="B176" s="395">
        <v>43221</v>
      </c>
      <c r="C176" t="s">
        <v>565</v>
      </c>
      <c r="D176" t="s">
        <v>926</v>
      </c>
      <c r="F176">
        <v>84.66</v>
      </c>
    </row>
    <row r="177" spans="1:6" x14ac:dyDescent="0.2">
      <c r="A177">
        <v>7279</v>
      </c>
      <c r="B177" s="395">
        <v>43221</v>
      </c>
      <c r="C177" t="s">
        <v>565</v>
      </c>
      <c r="D177" t="s">
        <v>1191</v>
      </c>
    </row>
    <row r="178" spans="1:6" x14ac:dyDescent="0.2">
      <c r="A178">
        <v>7280</v>
      </c>
      <c r="B178" s="395">
        <v>43221</v>
      </c>
      <c r="C178" t="s">
        <v>565</v>
      </c>
      <c r="D178" t="s">
        <v>926</v>
      </c>
      <c r="F178">
        <v>106.55</v>
      </c>
    </row>
    <row r="179" spans="1:6" x14ac:dyDescent="0.2">
      <c r="B179" s="395"/>
    </row>
    <row r="180" spans="1:6" x14ac:dyDescent="0.2">
      <c r="B180" s="395"/>
    </row>
    <row r="181" spans="1:6" x14ac:dyDescent="0.2">
      <c r="B181" s="395"/>
    </row>
    <row r="182" spans="1:6" x14ac:dyDescent="0.2">
      <c r="B182" s="395"/>
    </row>
    <row r="183" spans="1:6" x14ac:dyDescent="0.2">
      <c r="B183" s="395"/>
    </row>
    <row r="184" spans="1:6" x14ac:dyDescent="0.2">
      <c r="B184" s="395"/>
    </row>
    <row r="185" spans="1:6" x14ac:dyDescent="0.2">
      <c r="B185" s="395"/>
    </row>
    <row r="186" spans="1:6" x14ac:dyDescent="0.2">
      <c r="B186" s="395"/>
    </row>
    <row r="187" spans="1:6" x14ac:dyDescent="0.2">
      <c r="B187" s="395"/>
    </row>
    <row r="188" spans="1:6" x14ac:dyDescent="0.2">
      <c r="B188" s="395"/>
    </row>
    <row r="189" spans="1:6" x14ac:dyDescent="0.2">
      <c r="B189" s="395"/>
    </row>
    <row r="190" spans="1:6" x14ac:dyDescent="0.2">
      <c r="B190" s="395"/>
    </row>
    <row r="191" spans="1:6" x14ac:dyDescent="0.2">
      <c r="B191" s="395"/>
    </row>
    <row r="192" spans="1:6" x14ac:dyDescent="0.2">
      <c r="B192" s="395"/>
    </row>
    <row r="193" spans="2:2" x14ac:dyDescent="0.2">
      <c r="B193" s="395"/>
    </row>
  </sheetData>
  <pageMargins left="0" right="0" top="0.39410000000000006" bottom="0.39410000000000006" header="0" footer="0"/>
  <pageSetup fitToWidth="0" fitToHeight="0" pageOrder="overThenDown" orientation="portrait"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1"/>
  <sheetViews>
    <sheetView tabSelected="1" view="pageLayout" zoomScaleNormal="100" workbookViewId="0">
      <selection activeCell="F3" sqref="F3"/>
    </sheetView>
  </sheetViews>
  <sheetFormatPr defaultRowHeight="14.25" x14ac:dyDescent="0.2"/>
  <cols>
    <col min="1" max="1" width="25.25" customWidth="1"/>
    <col min="2" max="2" width="37.25" customWidth="1"/>
    <col min="3" max="3" width="2.5" customWidth="1"/>
    <col min="4" max="4" width="0.875" hidden="1" customWidth="1"/>
    <col min="5" max="5" width="16.875" hidden="1" customWidth="1"/>
    <col min="6" max="1024" width="7.375" customWidth="1"/>
  </cols>
  <sheetData>
    <row r="1" spans="1:8" x14ac:dyDescent="0.2">
      <c r="A1" s="626" t="s">
        <v>234</v>
      </c>
      <c r="B1" s="626"/>
      <c r="D1" s="63"/>
      <c r="E1" s="63"/>
    </row>
    <row r="2" spans="1:8" ht="15" x14ac:dyDescent="0.25">
      <c r="A2" s="64" t="s">
        <v>1337</v>
      </c>
      <c r="B2" s="474">
        <v>93479.21</v>
      </c>
      <c r="D2" s="63"/>
      <c r="E2" s="63"/>
      <c r="F2" s="613" t="s">
        <v>1358</v>
      </c>
    </row>
    <row r="3" spans="1:8" ht="15" x14ac:dyDescent="0.25">
      <c r="A3" s="64" t="s">
        <v>235</v>
      </c>
      <c r="B3" s="65">
        <f>Income!D29</f>
        <v>144534</v>
      </c>
      <c r="D3" s="54">
        <f>Income!E29</f>
        <v>0</v>
      </c>
      <c r="E3" s="66">
        <f>B3-D3</f>
        <v>144534</v>
      </c>
    </row>
    <row r="4" spans="1:8" ht="15" x14ac:dyDescent="0.25">
      <c r="A4" s="64" t="s">
        <v>236</v>
      </c>
      <c r="B4" s="67"/>
      <c r="D4" s="68" t="s">
        <v>237</v>
      </c>
      <c r="E4" s="68" t="s">
        <v>238</v>
      </c>
    </row>
    <row r="5" spans="1:8" ht="15" x14ac:dyDescent="0.25">
      <c r="A5" s="69" t="s">
        <v>239</v>
      </c>
      <c r="B5" s="70">
        <f>' Community Program Expenses'!C25</f>
        <v>34670</v>
      </c>
      <c r="D5" s="54">
        <f>' Community Program Expenses'!G25</f>
        <v>0</v>
      </c>
      <c r="E5" s="54">
        <f>' Community Program Expenses'!F25</f>
        <v>34670</v>
      </c>
    </row>
    <row r="6" spans="1:8" ht="15" x14ac:dyDescent="0.25">
      <c r="A6" s="69" t="s">
        <v>240</v>
      </c>
      <c r="B6" s="70">
        <f>'Family Program Expenses'!C17</f>
        <v>12375</v>
      </c>
      <c r="D6" s="54">
        <f>'Family Program Expenses'!G17</f>
        <v>0</v>
      </c>
      <c r="E6" s="54">
        <f>'Family Program Expenses'!F17</f>
        <v>12075</v>
      </c>
    </row>
    <row r="7" spans="1:8" ht="15" x14ac:dyDescent="0.25">
      <c r="A7" s="69" t="s">
        <v>241</v>
      </c>
      <c r="B7" s="70">
        <f>'Faith Program Expenses'!C13</f>
        <v>12350</v>
      </c>
      <c r="D7" s="54">
        <f>'Faith Program Expenses'!G13</f>
        <v>0</v>
      </c>
      <c r="E7" s="54">
        <f>'Faith Program Expenses'!F13</f>
        <v>12350</v>
      </c>
    </row>
    <row r="8" spans="1:8" ht="15" x14ac:dyDescent="0.25">
      <c r="A8" s="69" t="s">
        <v>242</v>
      </c>
      <c r="B8" s="70">
        <f>'Life Program Expenses'!C18</f>
        <v>7725</v>
      </c>
      <c r="D8" s="54">
        <f>'Life Program Expenses'!G18</f>
        <v>0</v>
      </c>
      <c r="E8" s="54">
        <f>'Life Program Expenses'!F18</f>
        <v>7725</v>
      </c>
    </row>
    <row r="9" spans="1:8" ht="15" x14ac:dyDescent="0.25">
      <c r="A9" s="69" t="s">
        <v>243</v>
      </c>
      <c r="B9" s="70">
        <f>'Council Opns Expenses'!C29</f>
        <v>78109.5</v>
      </c>
      <c r="D9" s="54">
        <f>'Council Opns Expenses'!F29</f>
        <v>0</v>
      </c>
      <c r="E9" s="54">
        <f>'Council Opns Expenses'!E29</f>
        <v>77734.5</v>
      </c>
    </row>
    <row r="10" spans="1:8" ht="15" x14ac:dyDescent="0.25">
      <c r="A10" s="64" t="s">
        <v>244</v>
      </c>
      <c r="B10" s="65">
        <f>SUM(B5:B9)</f>
        <v>145229.5</v>
      </c>
      <c r="D10" s="71">
        <f>SUM(D5:D9)</f>
        <v>0</v>
      </c>
      <c r="E10" s="71">
        <f>SUM(E5:E9)</f>
        <v>144554.5</v>
      </c>
    </row>
    <row r="11" spans="1:8" ht="15" x14ac:dyDescent="0.25">
      <c r="A11" s="72" t="s">
        <v>245</v>
      </c>
      <c r="B11" s="70">
        <f>B3-B10</f>
        <v>-695.5</v>
      </c>
      <c r="D11" s="54">
        <f>D3-D10</f>
        <v>0</v>
      </c>
      <c r="E11" s="54"/>
    </row>
    <row r="13" spans="1:8" x14ac:dyDescent="0.2">
      <c r="A13" s="627" t="s">
        <v>246</v>
      </c>
      <c r="B13" s="627"/>
      <c r="C13" s="627"/>
      <c r="D13" s="627"/>
      <c r="E13" s="627"/>
      <c r="F13" s="627"/>
      <c r="G13" s="627"/>
      <c r="H13" s="627"/>
    </row>
    <row r="14" spans="1:8" ht="17.25" customHeight="1" x14ac:dyDescent="0.2">
      <c r="A14" s="628" t="s">
        <v>247</v>
      </c>
      <c r="B14" s="628"/>
      <c r="C14" s="628"/>
      <c r="D14" s="628"/>
      <c r="E14" s="628"/>
      <c r="F14" s="628"/>
      <c r="G14" s="628"/>
      <c r="H14" s="628"/>
    </row>
    <row r="15" spans="1:8" ht="36.75" customHeight="1" x14ac:dyDescent="0.2">
      <c r="A15" s="628" t="s">
        <v>248</v>
      </c>
      <c r="B15" s="628"/>
      <c r="C15" s="628"/>
      <c r="D15" s="628"/>
      <c r="E15" s="628"/>
      <c r="F15" s="628"/>
      <c r="G15" s="628"/>
      <c r="H15" s="628"/>
    </row>
    <row r="17" spans="1:8" ht="15" x14ac:dyDescent="0.25">
      <c r="A17" s="624" t="s">
        <v>1228</v>
      </c>
      <c r="B17" s="624"/>
      <c r="C17" s="624"/>
    </row>
    <row r="18" spans="1:8" ht="19.5" customHeight="1" x14ac:dyDescent="0.2">
      <c r="A18" s="629" t="s">
        <v>1335</v>
      </c>
      <c r="B18" s="629"/>
      <c r="C18" s="629"/>
      <c r="D18" s="629"/>
      <c r="E18" s="629"/>
      <c r="F18" s="629"/>
      <c r="G18" s="629"/>
      <c r="H18" s="629"/>
    </row>
    <row r="19" spans="1:8" ht="105.75" customHeight="1" x14ac:dyDescent="0.2">
      <c r="A19" s="630" t="s">
        <v>1338</v>
      </c>
      <c r="B19" s="630"/>
      <c r="C19" s="630"/>
      <c r="D19" s="630"/>
      <c r="E19" s="630"/>
      <c r="F19" s="630"/>
      <c r="G19" s="630"/>
      <c r="H19" s="630"/>
    </row>
    <row r="20" spans="1:8" ht="21.75" customHeight="1" x14ac:dyDescent="0.2">
      <c r="A20" s="587" t="s">
        <v>1334</v>
      </c>
      <c r="B20" s="587"/>
      <c r="C20" s="587"/>
    </row>
    <row r="21" spans="1:8" ht="51.75" customHeight="1" x14ac:dyDescent="0.2">
      <c r="A21" s="623" t="s">
        <v>1288</v>
      </c>
      <c r="B21" s="623"/>
      <c r="C21" s="623"/>
    </row>
    <row r="22" spans="1:8" ht="25.5" customHeight="1" x14ac:dyDescent="0.2">
      <c r="A22" s="623" t="s">
        <v>1276</v>
      </c>
      <c r="B22" s="623"/>
      <c r="C22" s="623"/>
    </row>
    <row r="23" spans="1:8" ht="21" customHeight="1" x14ac:dyDescent="0.2">
      <c r="A23" s="625" t="s">
        <v>1299</v>
      </c>
      <c r="B23" s="625"/>
      <c r="C23" s="625"/>
    </row>
    <row r="24" spans="1:8" ht="19.5" customHeight="1" x14ac:dyDescent="0.2">
      <c r="A24" s="623" t="s">
        <v>1336</v>
      </c>
      <c r="B24" s="623"/>
      <c r="C24" s="623"/>
    </row>
    <row r="25" spans="1:8" ht="19.5" customHeight="1" x14ac:dyDescent="0.2">
      <c r="A25" s="623" t="s">
        <v>1268</v>
      </c>
      <c r="B25" s="623"/>
      <c r="C25" s="623"/>
    </row>
    <row r="26" spans="1:8" ht="18" customHeight="1" x14ac:dyDescent="0.2">
      <c r="A26" s="623" t="s">
        <v>1277</v>
      </c>
      <c r="B26" s="623"/>
      <c r="C26" s="623"/>
    </row>
    <row r="27" spans="1:8" ht="32.25" customHeight="1" x14ac:dyDescent="0.2">
      <c r="A27" s="623" t="s">
        <v>1339</v>
      </c>
      <c r="B27" s="623"/>
      <c r="C27" s="623"/>
    </row>
    <row r="28" spans="1:8" x14ac:dyDescent="0.2">
      <c r="A28" s="623" t="s">
        <v>1289</v>
      </c>
      <c r="B28" s="623"/>
      <c r="C28" s="623"/>
    </row>
    <row r="29" spans="1:8" x14ac:dyDescent="0.2">
      <c r="A29" s="623" t="s">
        <v>1298</v>
      </c>
      <c r="B29" s="623"/>
      <c r="C29" s="623"/>
    </row>
    <row r="30" spans="1:8" ht="19.5" customHeight="1" x14ac:dyDescent="0.2">
      <c r="A30" s="623" t="s">
        <v>1309</v>
      </c>
      <c r="B30" s="623"/>
      <c r="C30" s="623"/>
    </row>
    <row r="31" spans="1:8" ht="19.5" customHeight="1" x14ac:dyDescent="0.2">
      <c r="A31" s="623" t="s">
        <v>1329</v>
      </c>
      <c r="B31" s="623"/>
      <c r="C31" s="623"/>
    </row>
  </sheetData>
  <mergeCells count="18">
    <mergeCell ref="A1:B1"/>
    <mergeCell ref="A13:H13"/>
    <mergeCell ref="A14:H14"/>
    <mergeCell ref="A15:H15"/>
    <mergeCell ref="A28:C28"/>
    <mergeCell ref="A18:H18"/>
    <mergeCell ref="A19:H19"/>
    <mergeCell ref="A30:C30"/>
    <mergeCell ref="A31:C31"/>
    <mergeCell ref="A29:C29"/>
    <mergeCell ref="A17:C17"/>
    <mergeCell ref="A21:C21"/>
    <mergeCell ref="A22:C22"/>
    <mergeCell ref="A23:C23"/>
    <mergeCell ref="A24:C24"/>
    <mergeCell ref="A25:C25"/>
    <mergeCell ref="A26:C26"/>
    <mergeCell ref="A27:C27"/>
  </mergeCells>
  <pageMargins left="0.70000000000000007" right="0.70000000000000007" top="0.92200000000000015" bottom="1.1437000000000002" header="0.30000000000000004" footer="0.75000000000000011"/>
  <pageSetup scale="95" fitToHeight="0" orientation="portrait" r:id="rId1"/>
  <headerFooter alignWithMargins="0">
    <oddHeader>&amp;C&amp;"Calibri,Bold"&amp;12 Council 8600 Budget
Fraternal Year 2024-25</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F16"/>
  <sheetViews>
    <sheetView workbookViewId="0">
      <selection activeCell="A12" sqref="A12"/>
    </sheetView>
  </sheetViews>
  <sheetFormatPr defaultRowHeight="14.25" x14ac:dyDescent="0.2"/>
  <cols>
    <col min="1" max="1" width="31.625" customWidth="1"/>
    <col min="2" max="3" width="12.125" style="16" customWidth="1"/>
    <col min="4" max="1024" width="7.375" customWidth="1"/>
  </cols>
  <sheetData>
    <row r="3" spans="1:6" x14ac:dyDescent="0.2">
      <c r="A3" s="396"/>
      <c r="B3" s="397"/>
      <c r="C3" s="330" t="s">
        <v>677</v>
      </c>
      <c r="D3" s="331"/>
      <c r="E3" s="331"/>
      <c r="F3" s="332"/>
    </row>
    <row r="4" spans="1:6" ht="15" x14ac:dyDescent="0.25">
      <c r="A4" s="333" t="s">
        <v>593</v>
      </c>
      <c r="B4" s="398" t="s">
        <v>594</v>
      </c>
      <c r="C4" s="334" t="s">
        <v>679</v>
      </c>
      <c r="D4" s="335" t="s">
        <v>678</v>
      </c>
      <c r="E4" s="336" t="s">
        <v>681</v>
      </c>
      <c r="F4" s="337" t="s">
        <v>680</v>
      </c>
    </row>
    <row r="5" spans="1:6" ht="15" x14ac:dyDescent="0.25">
      <c r="A5" s="338" t="s">
        <v>105</v>
      </c>
      <c r="B5" s="399"/>
      <c r="C5" s="339">
        <v>91.86</v>
      </c>
      <c r="D5" s="340">
        <v>0</v>
      </c>
      <c r="E5" s="400">
        <v>91.86</v>
      </c>
      <c r="F5" s="342">
        <v>0</v>
      </c>
    </row>
    <row r="6" spans="1:6" ht="15" x14ac:dyDescent="0.25">
      <c r="A6" s="401"/>
      <c r="B6" s="402" t="s">
        <v>1101</v>
      </c>
      <c r="C6" s="347">
        <v>91.86</v>
      </c>
      <c r="D6" s="348">
        <v>0</v>
      </c>
      <c r="E6" s="403">
        <v>91.86</v>
      </c>
      <c r="F6" s="349">
        <v>0</v>
      </c>
    </row>
    <row r="7" spans="1:6" ht="15" x14ac:dyDescent="0.25">
      <c r="A7" s="338" t="s">
        <v>683</v>
      </c>
      <c r="B7" s="399"/>
      <c r="C7" s="404"/>
      <c r="D7" s="404"/>
      <c r="E7" s="405"/>
      <c r="F7" s="342"/>
    </row>
    <row r="8" spans="1:6" ht="15" x14ac:dyDescent="0.25">
      <c r="A8" s="401"/>
      <c r="B8" s="402" t="s">
        <v>683</v>
      </c>
      <c r="C8" s="406"/>
      <c r="D8" s="406"/>
      <c r="E8" s="407"/>
      <c r="F8" s="349"/>
    </row>
    <row r="9" spans="1:6" ht="15" x14ac:dyDescent="0.25">
      <c r="A9" s="408" t="s">
        <v>685</v>
      </c>
      <c r="B9" s="409"/>
      <c r="C9" s="351">
        <v>91.86</v>
      </c>
      <c r="D9" s="352">
        <v>0</v>
      </c>
      <c r="E9" s="353">
        <v>91.86</v>
      </c>
      <c r="F9" s="354">
        <v>0</v>
      </c>
    </row>
    <row r="10" spans="1:6" x14ac:dyDescent="0.2">
      <c r="B10"/>
      <c r="C10"/>
    </row>
    <row r="11" spans="1:6" x14ac:dyDescent="0.2">
      <c r="B11"/>
      <c r="C11"/>
    </row>
    <row r="12" spans="1:6" x14ac:dyDescent="0.2">
      <c r="B12"/>
      <c r="C12"/>
    </row>
    <row r="13" spans="1:6" x14ac:dyDescent="0.2">
      <c r="B13"/>
      <c r="C13"/>
    </row>
    <row r="14" spans="1:6" x14ac:dyDescent="0.2">
      <c r="B14"/>
      <c r="C14"/>
    </row>
    <row r="15" spans="1:6" x14ac:dyDescent="0.2">
      <c r="B15"/>
      <c r="C15"/>
    </row>
    <row r="16" spans="1:6" x14ac:dyDescent="0.2">
      <c r="B16"/>
      <c r="C16"/>
    </row>
  </sheetData>
  <pageMargins left="0.70000000000000007" right="0.70000000000000007" top="1.1437000000000002" bottom="1.1437000000000002" header="0.75000000000000011" footer="0.75000000000000011"/>
  <pageSetup fitToWidth="0"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0"/>
  <sheetViews>
    <sheetView topLeftCell="A19" zoomScaleNormal="100" workbookViewId="0">
      <selection activeCell="V16" sqref="V16"/>
    </sheetView>
  </sheetViews>
  <sheetFormatPr defaultRowHeight="12.75" customHeight="1" x14ac:dyDescent="0.2"/>
  <cols>
    <col min="1" max="1" width="3.375" customWidth="1"/>
    <col min="2" max="2" width="17.625" style="124" customWidth="1"/>
    <col min="3" max="3" width="8.875" hidden="1" customWidth="1"/>
    <col min="4" max="4" width="9.25" style="125" customWidth="1"/>
    <col min="5" max="5" width="10.625" style="125" hidden="1" customWidth="1"/>
    <col min="6" max="6" width="10.875" style="125" hidden="1" customWidth="1"/>
    <col min="7" max="7" width="8.125" style="125" hidden="1" customWidth="1"/>
    <col min="8" max="8" width="5.375" style="125" hidden="1" customWidth="1"/>
    <col min="9" max="9" width="5.25" style="125" hidden="1" customWidth="1"/>
    <col min="10" max="10" width="10.5" style="125" hidden="1" customWidth="1"/>
    <col min="11" max="11" width="33" style="124" customWidth="1"/>
    <col min="12" max="12" width="11.125" style="16" hidden="1" customWidth="1"/>
    <col min="13" max="13" width="12.875" hidden="1" customWidth="1"/>
    <col min="14" max="14" width="9.25" hidden="1" customWidth="1"/>
    <col min="15" max="15" width="10.25" style="126" customWidth="1"/>
    <col min="16" max="16" width="19.5" hidden="1" customWidth="1"/>
    <col min="17" max="17" width="15.75" style="124" hidden="1" customWidth="1"/>
    <col min="18" max="18" width="9.25" hidden="1" customWidth="1"/>
    <col min="19" max="19" width="7.625" hidden="1" customWidth="1"/>
    <col min="20" max="20" width="1.25" customWidth="1"/>
    <col min="21" max="21" width="28.875" customWidth="1"/>
    <col min="22" max="22" width="18.375" customWidth="1"/>
    <col min="23" max="23" width="20.625" customWidth="1"/>
    <col min="24" max="24" width="7.75" customWidth="1"/>
    <col min="25" max="25" width="10.75" customWidth="1"/>
    <col min="26" max="26" width="9.75" style="16" customWidth="1"/>
    <col min="27" max="1024" width="7.375" customWidth="1"/>
  </cols>
  <sheetData>
    <row r="1" spans="1:25" ht="24" hidden="1" x14ac:dyDescent="0.2">
      <c r="A1" s="74"/>
      <c r="B1" s="75" t="s">
        <v>249</v>
      </c>
      <c r="C1" s="76" t="e">
        <f>#REF!</f>
        <v>#REF!</v>
      </c>
      <c r="D1" s="77"/>
      <c r="E1" s="77"/>
      <c r="F1" s="77"/>
      <c r="G1" s="77"/>
      <c r="H1" s="77"/>
      <c r="I1" s="77"/>
      <c r="J1" s="77"/>
      <c r="K1" s="78" t="e">
        <f>#REF!</f>
        <v>#REF!</v>
      </c>
      <c r="L1" s="78"/>
      <c r="M1" s="78"/>
      <c r="N1" s="79" t="e">
        <f>#REF!-#REF!</f>
        <v>#REF!</v>
      </c>
      <c r="O1" s="80" t="s">
        <v>250</v>
      </c>
      <c r="P1" s="81"/>
      <c r="Q1" s="82"/>
      <c r="R1" s="81"/>
      <c r="S1" s="81"/>
      <c r="T1" s="83"/>
      <c r="U1" s="83"/>
      <c r="V1" s="83"/>
    </row>
    <row r="2" spans="1:25" ht="19.5" customHeight="1" x14ac:dyDescent="0.2">
      <c r="A2" s="632" t="s">
        <v>1252</v>
      </c>
      <c r="B2" s="632"/>
      <c r="C2" s="632"/>
      <c r="D2" s="632"/>
      <c r="E2" s="632"/>
      <c r="F2" s="632"/>
      <c r="G2" s="632"/>
      <c r="H2" s="632"/>
      <c r="I2" s="632"/>
      <c r="J2" s="632"/>
      <c r="K2" s="632"/>
      <c r="L2" s="632"/>
      <c r="M2" s="632"/>
      <c r="N2" s="632"/>
      <c r="O2" s="632"/>
      <c r="P2" s="81"/>
      <c r="Q2" s="82">
        <f>484*36</f>
        <v>17424</v>
      </c>
      <c r="R2" s="81">
        <f>12*10</f>
        <v>120</v>
      </c>
      <c r="S2" s="84">
        <v>0.85499999999999998</v>
      </c>
      <c r="T2" s="83"/>
      <c r="U2" s="83"/>
      <c r="V2" s="83"/>
    </row>
    <row r="3" spans="1:25" ht="40.5" customHeight="1" x14ac:dyDescent="0.2">
      <c r="A3" s="80"/>
      <c r="B3" s="80" t="s">
        <v>251</v>
      </c>
      <c r="C3" s="86" t="s">
        <v>252</v>
      </c>
      <c r="D3" s="138" t="s">
        <v>1250</v>
      </c>
      <c r="E3" s="138" t="s">
        <v>253</v>
      </c>
      <c r="F3" s="87" t="s">
        <v>254</v>
      </c>
      <c r="G3" s="77" t="s">
        <v>255</v>
      </c>
      <c r="H3" s="77" t="s">
        <v>256</v>
      </c>
      <c r="I3" s="77" t="s">
        <v>257</v>
      </c>
      <c r="J3" s="77" t="s">
        <v>258</v>
      </c>
      <c r="K3" s="76" t="s">
        <v>259</v>
      </c>
      <c r="L3" s="78" t="s">
        <v>260</v>
      </c>
      <c r="M3" s="78" t="s">
        <v>261</v>
      </c>
      <c r="N3" s="76"/>
      <c r="O3" s="80" t="s">
        <v>262</v>
      </c>
      <c r="P3" s="81"/>
      <c r="Q3" s="82">
        <f>(Q2*S2)</f>
        <v>14897.52</v>
      </c>
      <c r="R3" s="81">
        <f>(R2*S2)</f>
        <v>102.6</v>
      </c>
      <c r="S3" s="81">
        <f>Q3+R3</f>
        <v>15000.12</v>
      </c>
      <c r="T3" s="83"/>
      <c r="U3" s="491" t="s">
        <v>263</v>
      </c>
      <c r="V3" s="83"/>
    </row>
    <row r="4" spans="1:25" ht="15" x14ac:dyDescent="0.2">
      <c r="A4" s="633" t="s">
        <v>264</v>
      </c>
      <c r="B4" s="633"/>
      <c r="C4" s="633"/>
      <c r="D4" s="633"/>
      <c r="E4" s="633"/>
      <c r="F4" s="633"/>
      <c r="G4" s="633"/>
      <c r="H4" s="633"/>
      <c r="I4" s="633"/>
      <c r="J4" s="633"/>
      <c r="K4" s="633"/>
      <c r="L4" s="633"/>
      <c r="M4" s="633"/>
      <c r="N4" s="633"/>
      <c r="O4" s="633"/>
      <c r="P4" s="81"/>
      <c r="Q4" s="82"/>
      <c r="R4" s="81"/>
      <c r="S4" s="81"/>
      <c r="T4" s="83"/>
      <c r="U4" s="83"/>
      <c r="V4" s="83"/>
    </row>
    <row r="5" spans="1:25" ht="21" customHeight="1" x14ac:dyDescent="0.2">
      <c r="A5" s="89" t="s">
        <v>20</v>
      </c>
      <c r="B5" s="90" t="s">
        <v>21</v>
      </c>
      <c r="C5" s="91" t="s">
        <v>21</v>
      </c>
      <c r="D5" s="428">
        <v>13125</v>
      </c>
      <c r="E5" s="428">
        <f t="shared" ref="E5:E20" si="0">SUM(G5:J5)</f>
        <v>0</v>
      </c>
      <c r="F5" s="427">
        <f>-(D5-E5)</f>
        <v>-13125</v>
      </c>
      <c r="G5" s="428">
        <v>0</v>
      </c>
      <c r="H5" s="428">
        <v>0</v>
      </c>
      <c r="I5" s="428">
        <v>0</v>
      </c>
      <c r="J5" s="428">
        <v>0</v>
      </c>
      <c r="K5" s="90" t="s">
        <v>265</v>
      </c>
      <c r="L5" s="93"/>
      <c r="M5" s="93">
        <v>0</v>
      </c>
      <c r="N5" s="94">
        <f>((465*36)+(10*10))*0.855</f>
        <v>14398.199999999999</v>
      </c>
      <c r="O5" s="95" t="s">
        <v>266</v>
      </c>
      <c r="P5" s="81"/>
      <c r="Q5" s="82"/>
      <c r="R5" s="96" t="e">
        <f>#REF!*S2</f>
        <v>#REF!</v>
      </c>
      <c r="S5" s="81"/>
      <c r="T5" s="83"/>
      <c r="U5" s="83"/>
      <c r="V5" s="462"/>
      <c r="Y5" s="54"/>
    </row>
    <row r="6" spans="1:25" ht="36" customHeight="1" x14ac:dyDescent="0.2">
      <c r="A6" s="89" t="s">
        <v>28</v>
      </c>
      <c r="B6" s="90" t="s">
        <v>1207</v>
      </c>
      <c r="C6" s="451" t="s">
        <v>267</v>
      </c>
      <c r="D6" s="428">
        <v>225</v>
      </c>
      <c r="E6" s="428">
        <f t="shared" si="0"/>
        <v>0</v>
      </c>
      <c r="F6" s="427">
        <f>-(D6-E6)</f>
        <v>-225</v>
      </c>
      <c r="G6" s="428">
        <v>0</v>
      </c>
      <c r="H6" s="428">
        <v>0</v>
      </c>
      <c r="I6" s="428">
        <v>0</v>
      </c>
      <c r="J6" s="428">
        <v>0</v>
      </c>
      <c r="K6" s="97" t="s">
        <v>1205</v>
      </c>
      <c r="L6" s="93"/>
      <c r="M6" s="97">
        <v>0</v>
      </c>
      <c r="N6" s="97"/>
      <c r="O6" s="95" t="s">
        <v>266</v>
      </c>
      <c r="P6" s="81"/>
      <c r="Q6" s="82" t="s">
        <v>268</v>
      </c>
      <c r="R6" s="81">
        <f>35*15</f>
        <v>525</v>
      </c>
      <c r="S6" s="81"/>
      <c r="T6" s="83"/>
      <c r="U6" s="588" t="s">
        <v>1206</v>
      </c>
      <c r="V6" s="83"/>
      <c r="Y6" s="54"/>
    </row>
    <row r="7" spans="1:25" ht="37.5" customHeight="1" x14ac:dyDescent="0.2">
      <c r="A7" s="89" t="s">
        <v>269</v>
      </c>
      <c r="B7" s="90" t="s">
        <v>48</v>
      </c>
      <c r="C7" s="95" t="s">
        <v>270</v>
      </c>
      <c r="D7" s="428">
        <v>80000</v>
      </c>
      <c r="E7" s="428">
        <f t="shared" si="0"/>
        <v>0</v>
      </c>
      <c r="F7" s="427">
        <f>-(D7-E7)</f>
        <v>-80000</v>
      </c>
      <c r="G7" s="428">
        <v>0</v>
      </c>
      <c r="H7" s="428">
        <v>0</v>
      </c>
      <c r="I7" s="428">
        <v>0</v>
      </c>
      <c r="J7" s="428">
        <v>0</v>
      </c>
      <c r="K7" s="90" t="s">
        <v>271</v>
      </c>
      <c r="L7" s="93"/>
      <c r="M7" s="93">
        <v>0</v>
      </c>
      <c r="N7" s="98"/>
      <c r="O7" s="95" t="s">
        <v>1193</v>
      </c>
      <c r="P7" s="81"/>
      <c r="Q7" s="82"/>
      <c r="R7" s="81"/>
      <c r="S7" s="81"/>
      <c r="T7" s="83"/>
      <c r="U7" s="83"/>
      <c r="V7" s="83"/>
      <c r="Y7" s="54"/>
    </row>
    <row r="8" spans="1:25" ht="52.9" customHeight="1" x14ac:dyDescent="0.2">
      <c r="A8" s="89" t="s">
        <v>167</v>
      </c>
      <c r="B8" s="90" t="s">
        <v>272</v>
      </c>
      <c r="C8" s="89" t="s">
        <v>273</v>
      </c>
      <c r="D8" s="428">
        <v>8000</v>
      </c>
      <c r="E8" s="428">
        <f t="shared" si="0"/>
        <v>0</v>
      </c>
      <c r="F8" s="427">
        <f>-(D8-E8)</f>
        <v>-8000</v>
      </c>
      <c r="G8" s="428">
        <v>0</v>
      </c>
      <c r="H8" s="428">
        <v>0</v>
      </c>
      <c r="I8" s="428">
        <v>0</v>
      </c>
      <c r="J8" s="428">
        <v>0</v>
      </c>
      <c r="K8" s="90" t="s">
        <v>274</v>
      </c>
      <c r="L8" s="93"/>
      <c r="M8" s="93">
        <v>0</v>
      </c>
      <c r="N8" s="98"/>
      <c r="O8" s="95" t="s">
        <v>275</v>
      </c>
      <c r="P8" s="81"/>
      <c r="Q8" s="82" t="s">
        <v>276</v>
      </c>
      <c r="R8" s="81">
        <f>9*670</f>
        <v>6030</v>
      </c>
      <c r="S8" s="81"/>
      <c r="T8" s="83"/>
      <c r="U8" s="538" t="s">
        <v>1340</v>
      </c>
      <c r="V8" s="83"/>
      <c r="Y8" s="54"/>
    </row>
    <row r="9" spans="1:25" ht="52.15" customHeight="1" x14ac:dyDescent="0.2">
      <c r="A9" s="89" t="s">
        <v>170</v>
      </c>
      <c r="B9" s="90" t="s">
        <v>277</v>
      </c>
      <c r="C9" s="89" t="s">
        <v>278</v>
      </c>
      <c r="D9" s="428">
        <v>5000</v>
      </c>
      <c r="E9" s="428">
        <f t="shared" si="0"/>
        <v>0</v>
      </c>
      <c r="F9" s="427">
        <f>-(D9-E9)</f>
        <v>-5000</v>
      </c>
      <c r="G9" s="428">
        <v>0</v>
      </c>
      <c r="H9" s="428">
        <v>0</v>
      </c>
      <c r="I9" s="428">
        <v>0</v>
      </c>
      <c r="J9" s="428">
        <v>0</v>
      </c>
      <c r="K9" s="90" t="s">
        <v>279</v>
      </c>
      <c r="L9" s="93"/>
      <c r="M9" s="93">
        <v>0</v>
      </c>
      <c r="N9" s="98"/>
      <c r="O9" s="95" t="s">
        <v>280</v>
      </c>
      <c r="P9" s="81"/>
      <c r="Q9" s="82" t="s">
        <v>281</v>
      </c>
      <c r="R9" s="81">
        <f>8*670</f>
        <v>5360</v>
      </c>
      <c r="S9" s="81"/>
      <c r="T9" s="83"/>
      <c r="U9" s="538" t="s">
        <v>1341</v>
      </c>
      <c r="V9" s="83"/>
      <c r="Y9" s="54"/>
    </row>
    <row r="10" spans="1:25" ht="55.9" customHeight="1" x14ac:dyDescent="0.2">
      <c r="A10" s="89" t="s">
        <v>282</v>
      </c>
      <c r="B10" s="90" t="s">
        <v>283</v>
      </c>
      <c r="C10" s="89" t="s">
        <v>284</v>
      </c>
      <c r="D10" s="428">
        <v>9100</v>
      </c>
      <c r="E10" s="428">
        <f t="shared" si="0"/>
        <v>0</v>
      </c>
      <c r="F10" s="427">
        <v>-9100</v>
      </c>
      <c r="G10" s="428">
        <v>0</v>
      </c>
      <c r="H10" s="428">
        <v>0</v>
      </c>
      <c r="I10" s="428">
        <v>0</v>
      </c>
      <c r="J10" s="428">
        <v>0</v>
      </c>
      <c r="K10" s="90" t="s">
        <v>285</v>
      </c>
      <c r="L10" s="99"/>
      <c r="M10" s="97"/>
      <c r="N10" s="98"/>
      <c r="O10" s="95" t="s">
        <v>286</v>
      </c>
      <c r="P10" s="81"/>
      <c r="Q10" s="82"/>
      <c r="R10" s="81"/>
      <c r="S10" s="81"/>
      <c r="T10" s="83"/>
      <c r="U10" s="83"/>
      <c r="V10" s="542" t="s">
        <v>1301</v>
      </c>
      <c r="Y10" s="54"/>
    </row>
    <row r="11" spans="1:25" ht="39" customHeight="1" x14ac:dyDescent="0.2">
      <c r="A11" s="89" t="s">
        <v>113</v>
      </c>
      <c r="B11" s="90" t="s">
        <v>287</v>
      </c>
      <c r="C11" s="89" t="s">
        <v>288</v>
      </c>
      <c r="D11" s="493">
        <v>13000</v>
      </c>
      <c r="E11" s="428">
        <f t="shared" si="0"/>
        <v>0</v>
      </c>
      <c r="F11" s="427">
        <f t="shared" ref="F11:F22" si="1">-(D11-E11)</f>
        <v>-13000</v>
      </c>
      <c r="G11" s="428">
        <v>0</v>
      </c>
      <c r="H11" s="428">
        <v>0</v>
      </c>
      <c r="I11" s="428">
        <v>0</v>
      </c>
      <c r="J11" s="428">
        <v>0</v>
      </c>
      <c r="K11" s="90" t="s">
        <v>1192</v>
      </c>
      <c r="L11" s="99"/>
      <c r="M11" s="97"/>
      <c r="N11" s="98"/>
      <c r="O11" s="494" t="s">
        <v>289</v>
      </c>
      <c r="P11" s="81"/>
      <c r="Q11" s="82"/>
      <c r="R11" s="81"/>
      <c r="S11" s="81"/>
      <c r="T11" s="83"/>
      <c r="U11" s="490" t="s">
        <v>1229</v>
      </c>
      <c r="V11" s="614" t="s">
        <v>1342</v>
      </c>
      <c r="Y11" s="54"/>
    </row>
    <row r="12" spans="1:25" ht="36.6" customHeight="1" x14ac:dyDescent="0.2">
      <c r="A12" s="89" t="s">
        <v>290</v>
      </c>
      <c r="B12" s="90" t="s">
        <v>291</v>
      </c>
      <c r="C12" s="91" t="s">
        <v>292</v>
      </c>
      <c r="D12" s="428">
        <v>500</v>
      </c>
      <c r="E12" s="428">
        <f t="shared" si="0"/>
        <v>0</v>
      </c>
      <c r="F12" s="427">
        <f t="shared" si="1"/>
        <v>-500</v>
      </c>
      <c r="G12" s="428">
        <v>0</v>
      </c>
      <c r="H12" s="428">
        <v>0</v>
      </c>
      <c r="I12" s="428">
        <v>0</v>
      </c>
      <c r="J12" s="428">
        <v>0</v>
      </c>
      <c r="K12" s="90" t="s">
        <v>293</v>
      </c>
      <c r="L12" s="93"/>
      <c r="M12" s="93">
        <v>0</v>
      </c>
      <c r="N12" s="98"/>
      <c r="O12" s="95" t="s">
        <v>266</v>
      </c>
      <c r="P12" s="81"/>
      <c r="Q12" s="82" t="s">
        <v>294</v>
      </c>
      <c r="R12" s="81"/>
      <c r="S12" s="81"/>
      <c r="T12" s="83"/>
      <c r="U12" s="538" t="s">
        <v>1343</v>
      </c>
      <c r="V12" s="83"/>
      <c r="Y12" s="54"/>
    </row>
    <row r="13" spans="1:25" ht="123.75" customHeight="1" x14ac:dyDescent="0.2">
      <c r="A13" s="89" t="s">
        <v>47</v>
      </c>
      <c r="B13" s="90" t="s">
        <v>295</v>
      </c>
      <c r="C13" s="89" t="s">
        <v>296</v>
      </c>
      <c r="D13" s="428">
        <v>0</v>
      </c>
      <c r="E13" s="428">
        <f t="shared" si="0"/>
        <v>0</v>
      </c>
      <c r="F13" s="427">
        <f t="shared" si="1"/>
        <v>0</v>
      </c>
      <c r="G13" s="428">
        <v>0</v>
      </c>
      <c r="H13" s="428">
        <v>0</v>
      </c>
      <c r="I13" s="428">
        <v>0</v>
      </c>
      <c r="J13" s="428">
        <v>0</v>
      </c>
      <c r="K13" s="90" t="s">
        <v>1265</v>
      </c>
      <c r="L13" s="93"/>
      <c r="M13" s="93">
        <v>0</v>
      </c>
      <c r="N13" s="98"/>
      <c r="O13" s="95" t="s">
        <v>297</v>
      </c>
      <c r="P13" s="81"/>
      <c r="Q13" s="82" t="s">
        <v>298</v>
      </c>
      <c r="R13" s="81"/>
      <c r="S13" s="81"/>
      <c r="T13" s="83"/>
      <c r="U13" s="488" t="s">
        <v>1269</v>
      </c>
      <c r="V13" s="492" t="s">
        <v>1270</v>
      </c>
      <c r="W13" s="88"/>
      <c r="Y13" s="54"/>
    </row>
    <row r="14" spans="1:25" ht="42" customHeight="1" x14ac:dyDescent="0.2">
      <c r="A14" s="89" t="s">
        <v>23</v>
      </c>
      <c r="B14" s="90" t="s">
        <v>168</v>
      </c>
      <c r="C14" s="89" t="s">
        <v>168</v>
      </c>
      <c r="D14" s="428">
        <v>2000</v>
      </c>
      <c r="E14" s="428">
        <f t="shared" si="0"/>
        <v>0</v>
      </c>
      <c r="F14" s="427">
        <f t="shared" si="1"/>
        <v>-2000</v>
      </c>
      <c r="G14" s="428">
        <v>0</v>
      </c>
      <c r="H14" s="428">
        <v>0</v>
      </c>
      <c r="I14" s="428">
        <v>0</v>
      </c>
      <c r="J14" s="428">
        <v>0</v>
      </c>
      <c r="K14" s="90" t="s">
        <v>1243</v>
      </c>
      <c r="L14" s="99"/>
      <c r="M14" s="93">
        <v>0</v>
      </c>
      <c r="N14" s="100"/>
      <c r="O14" s="95" t="s">
        <v>299</v>
      </c>
      <c r="P14" s="81"/>
      <c r="Q14" s="82"/>
      <c r="R14" s="81"/>
      <c r="S14" s="81"/>
      <c r="T14" s="83"/>
      <c r="U14" s="575" t="s">
        <v>343</v>
      </c>
      <c r="V14" s="413" t="s">
        <v>1344</v>
      </c>
      <c r="Y14" s="54"/>
    </row>
    <row r="15" spans="1:25" ht="47.1" customHeight="1" x14ac:dyDescent="0.2">
      <c r="A15" s="89" t="s">
        <v>128</v>
      </c>
      <c r="B15" s="90" t="s">
        <v>300</v>
      </c>
      <c r="C15" s="89" t="s">
        <v>301</v>
      </c>
      <c r="D15" s="428">
        <v>500</v>
      </c>
      <c r="E15" s="428">
        <f t="shared" si="0"/>
        <v>0</v>
      </c>
      <c r="F15" s="427">
        <f t="shared" si="1"/>
        <v>-500</v>
      </c>
      <c r="G15" s="428">
        <v>0</v>
      </c>
      <c r="H15" s="428">
        <v>0</v>
      </c>
      <c r="I15" s="428">
        <v>0</v>
      </c>
      <c r="J15" s="428">
        <v>0</v>
      </c>
      <c r="K15" s="90" t="s">
        <v>302</v>
      </c>
      <c r="L15" s="99"/>
      <c r="M15" s="97"/>
      <c r="N15" s="98"/>
      <c r="O15" s="95" t="s">
        <v>303</v>
      </c>
      <c r="P15" s="81"/>
      <c r="Q15" s="82"/>
      <c r="R15" s="81"/>
      <c r="S15" s="81"/>
      <c r="T15" s="83"/>
      <c r="U15" s="489" t="s">
        <v>304</v>
      </c>
      <c r="V15" s="83"/>
      <c r="Y15" s="54"/>
    </row>
    <row r="16" spans="1:25" ht="41.25" customHeight="1" x14ac:dyDescent="0.2">
      <c r="A16" s="89" t="s">
        <v>141</v>
      </c>
      <c r="B16" s="90" t="s">
        <v>305</v>
      </c>
      <c r="C16" s="89" t="s">
        <v>306</v>
      </c>
      <c r="D16" s="428">
        <v>3500</v>
      </c>
      <c r="E16" s="428">
        <f t="shared" si="0"/>
        <v>0</v>
      </c>
      <c r="F16" s="427">
        <f t="shared" si="1"/>
        <v>-3500</v>
      </c>
      <c r="G16" s="428">
        <v>0</v>
      </c>
      <c r="H16" s="428">
        <v>0</v>
      </c>
      <c r="I16" s="428">
        <v>0</v>
      </c>
      <c r="J16" s="428">
        <v>0</v>
      </c>
      <c r="K16" s="475" t="s">
        <v>1200</v>
      </c>
      <c r="L16" s="99"/>
      <c r="M16" s="93">
        <v>0</v>
      </c>
      <c r="N16" s="98"/>
      <c r="O16" s="95" t="s">
        <v>307</v>
      </c>
      <c r="P16" s="81">
        <f>24*50</f>
        <v>1200</v>
      </c>
      <c r="Q16" s="82" t="s">
        <v>308</v>
      </c>
      <c r="R16" s="81"/>
      <c r="S16" s="81"/>
      <c r="T16" s="83"/>
      <c r="U16" s="616" t="s">
        <v>1345</v>
      </c>
      <c r="V16" s="541" t="s">
        <v>1359</v>
      </c>
      <c r="W16" s="615" t="s">
        <v>1240</v>
      </c>
      <c r="X16">
        <f>22*15*7</f>
        <v>2310</v>
      </c>
      <c r="Y16" s="54"/>
    </row>
    <row r="17" spans="1:25" ht="28.5" customHeight="1" x14ac:dyDescent="0.2">
      <c r="A17" s="89" t="s">
        <v>309</v>
      </c>
      <c r="B17" s="90" t="s">
        <v>310</v>
      </c>
      <c r="C17" s="89" t="s">
        <v>311</v>
      </c>
      <c r="D17" s="428">
        <v>100</v>
      </c>
      <c r="E17" s="428">
        <f t="shared" si="0"/>
        <v>0</v>
      </c>
      <c r="F17" s="427">
        <f t="shared" si="1"/>
        <v>-100</v>
      </c>
      <c r="G17" s="428">
        <v>0</v>
      </c>
      <c r="H17" s="428">
        <v>0</v>
      </c>
      <c r="I17" s="428">
        <v>0</v>
      </c>
      <c r="J17" s="428">
        <v>0</v>
      </c>
      <c r="K17" s="540" t="s">
        <v>1274</v>
      </c>
      <c r="L17" s="93"/>
      <c r="M17" s="93">
        <v>0</v>
      </c>
      <c r="N17" s="98"/>
      <c r="O17" s="95" t="s">
        <v>313</v>
      </c>
      <c r="P17" s="81"/>
      <c r="Q17" s="82"/>
      <c r="R17" s="81"/>
      <c r="S17" s="81"/>
      <c r="T17" s="83"/>
      <c r="U17" s="489" t="s">
        <v>312</v>
      </c>
      <c r="V17" s="83"/>
      <c r="Y17" s="54"/>
    </row>
    <row r="18" spans="1:25" ht="41.25" customHeight="1" x14ac:dyDescent="0.2">
      <c r="A18" s="89" t="s">
        <v>142</v>
      </c>
      <c r="B18" s="90" t="s">
        <v>314</v>
      </c>
      <c r="C18" s="89" t="s">
        <v>315</v>
      </c>
      <c r="D18" s="428">
        <v>84</v>
      </c>
      <c r="E18" s="428">
        <f t="shared" si="0"/>
        <v>0</v>
      </c>
      <c r="F18" s="427">
        <f t="shared" si="1"/>
        <v>-84</v>
      </c>
      <c r="G18" s="428">
        <v>0</v>
      </c>
      <c r="H18" s="428">
        <v>0</v>
      </c>
      <c r="I18" s="428">
        <v>0</v>
      </c>
      <c r="J18" s="428">
        <v>0</v>
      </c>
      <c r="K18" s="90" t="s">
        <v>316</v>
      </c>
      <c r="L18" s="93"/>
      <c r="M18" s="93">
        <v>0</v>
      </c>
      <c r="N18" s="98"/>
      <c r="O18" s="95" t="s">
        <v>317</v>
      </c>
      <c r="P18" s="81"/>
      <c r="Q18" s="82" t="s">
        <v>318</v>
      </c>
      <c r="R18" s="81"/>
      <c r="S18" s="81"/>
      <c r="T18" s="83"/>
      <c r="U18" s="83"/>
      <c r="V18" s="83"/>
      <c r="Y18" s="54"/>
    </row>
    <row r="19" spans="1:25" ht="36.75" customHeight="1" x14ac:dyDescent="0.2">
      <c r="A19" s="89" t="s">
        <v>144</v>
      </c>
      <c r="B19" s="90" t="s">
        <v>1283</v>
      </c>
      <c r="C19" s="89" t="s">
        <v>319</v>
      </c>
      <c r="D19" s="428">
        <v>3000</v>
      </c>
      <c r="E19" s="428">
        <f t="shared" si="0"/>
        <v>0</v>
      </c>
      <c r="F19" s="427">
        <f t="shared" si="1"/>
        <v>-3000</v>
      </c>
      <c r="G19" s="428">
        <v>0</v>
      </c>
      <c r="H19" s="428">
        <v>0</v>
      </c>
      <c r="I19" s="428">
        <v>0</v>
      </c>
      <c r="J19" s="428">
        <v>0</v>
      </c>
      <c r="K19" s="90" t="s">
        <v>1284</v>
      </c>
      <c r="L19" s="99"/>
      <c r="M19" s="93">
        <v>0</v>
      </c>
      <c r="N19" s="98"/>
      <c r="O19" s="95" t="s">
        <v>320</v>
      </c>
      <c r="P19" s="81"/>
      <c r="Q19" s="82" t="s">
        <v>321</v>
      </c>
      <c r="R19" s="81"/>
      <c r="S19" s="81"/>
      <c r="T19" s="83"/>
      <c r="U19" s="575" t="s">
        <v>343</v>
      </c>
      <c r="V19" s="618" t="s">
        <v>1352</v>
      </c>
      <c r="Y19" s="54"/>
    </row>
    <row r="20" spans="1:25" ht="37.5" customHeight="1" x14ac:dyDescent="0.2">
      <c r="A20" s="560" t="s">
        <v>69</v>
      </c>
      <c r="B20" s="410" t="s">
        <v>322</v>
      </c>
      <c r="C20" s="560" t="s">
        <v>323</v>
      </c>
      <c r="D20" s="561">
        <v>0</v>
      </c>
      <c r="E20" s="561">
        <f t="shared" si="0"/>
        <v>0</v>
      </c>
      <c r="F20" s="562">
        <f t="shared" si="1"/>
        <v>0</v>
      </c>
      <c r="G20" s="561">
        <v>0</v>
      </c>
      <c r="H20" s="561">
        <v>0</v>
      </c>
      <c r="I20" s="561">
        <v>0</v>
      </c>
      <c r="J20" s="561">
        <v>0</v>
      </c>
      <c r="K20" s="410" t="s">
        <v>324</v>
      </c>
      <c r="L20" s="563"/>
      <c r="M20" s="564">
        <v>0</v>
      </c>
      <c r="N20" s="565"/>
      <c r="O20" s="566" t="s">
        <v>240</v>
      </c>
      <c r="P20" s="567"/>
      <c r="Q20" s="568" t="s">
        <v>325</v>
      </c>
      <c r="R20" s="567"/>
      <c r="S20" s="567"/>
      <c r="T20" s="267"/>
      <c r="U20" s="578" t="s">
        <v>343</v>
      </c>
      <c r="V20" s="559" t="s">
        <v>1285</v>
      </c>
      <c r="Y20" s="54"/>
    </row>
    <row r="21" spans="1:25" ht="39" customHeight="1" x14ac:dyDescent="0.2">
      <c r="A21" s="89" t="s">
        <v>147</v>
      </c>
      <c r="B21" s="90" t="s">
        <v>326</v>
      </c>
      <c r="C21" s="89" t="s">
        <v>327</v>
      </c>
      <c r="D21" s="428">
        <v>300</v>
      </c>
      <c r="E21" s="428">
        <v>0</v>
      </c>
      <c r="F21" s="427">
        <f t="shared" si="1"/>
        <v>-300</v>
      </c>
      <c r="G21" s="428">
        <v>0</v>
      </c>
      <c r="H21" s="428">
        <v>0</v>
      </c>
      <c r="I21" s="428">
        <v>0</v>
      </c>
      <c r="J21" s="428">
        <v>0</v>
      </c>
      <c r="K21" s="90" t="s">
        <v>1286</v>
      </c>
      <c r="L21" s="99"/>
      <c r="M21" s="97"/>
      <c r="N21" s="98"/>
      <c r="O21" s="95" t="s">
        <v>328</v>
      </c>
      <c r="P21" s="81"/>
      <c r="Q21" s="82"/>
      <c r="R21" s="81"/>
      <c r="S21" s="81"/>
      <c r="T21" s="83"/>
      <c r="U21" s="293"/>
      <c r="V21" s="83"/>
      <c r="Y21" s="54"/>
    </row>
    <row r="22" spans="1:25" ht="33.75" customHeight="1" x14ac:dyDescent="0.2">
      <c r="A22" s="89" t="s">
        <v>151</v>
      </c>
      <c r="B22" s="90" t="s">
        <v>329</v>
      </c>
      <c r="C22" s="89">
        <v>50</v>
      </c>
      <c r="D22" s="428">
        <v>500</v>
      </c>
      <c r="E22" s="428">
        <f t="shared" ref="E22:E29" si="2">SUM(G22:J22)</f>
        <v>0</v>
      </c>
      <c r="F22" s="427">
        <f t="shared" si="1"/>
        <v>-500</v>
      </c>
      <c r="G22" s="428">
        <v>0</v>
      </c>
      <c r="H22" s="428">
        <v>0</v>
      </c>
      <c r="I22" s="428">
        <v>0</v>
      </c>
      <c r="J22" s="428">
        <v>0</v>
      </c>
      <c r="K22" s="90" t="s">
        <v>1296</v>
      </c>
      <c r="L22" s="93"/>
      <c r="M22" s="97">
        <v>0</v>
      </c>
      <c r="N22" s="98"/>
      <c r="O22" s="95" t="s">
        <v>330</v>
      </c>
      <c r="P22" s="81"/>
      <c r="Q22" s="82" t="s">
        <v>331</v>
      </c>
      <c r="R22" s="81"/>
      <c r="S22" s="81"/>
      <c r="T22" s="83"/>
      <c r="U22" s="293"/>
      <c r="V22" s="88" t="s">
        <v>1293</v>
      </c>
      <c r="Y22" s="54"/>
    </row>
    <row r="23" spans="1:25" ht="26.25" customHeight="1" x14ac:dyDescent="0.2">
      <c r="A23" s="89" t="s">
        <v>26</v>
      </c>
      <c r="B23" s="410" t="s">
        <v>332</v>
      </c>
      <c r="C23" s="89" t="s">
        <v>333</v>
      </c>
      <c r="D23" s="428">
        <v>0</v>
      </c>
      <c r="E23" s="428">
        <f t="shared" si="2"/>
        <v>0</v>
      </c>
      <c r="F23" s="427">
        <v>0</v>
      </c>
      <c r="G23" s="428">
        <v>0</v>
      </c>
      <c r="H23" s="428">
        <v>0</v>
      </c>
      <c r="I23" s="428">
        <v>0</v>
      </c>
      <c r="J23" s="428">
        <v>0</v>
      </c>
      <c r="K23" s="90"/>
      <c r="L23" s="93"/>
      <c r="M23" s="101">
        <v>0</v>
      </c>
      <c r="N23" s="98"/>
      <c r="O23" s="95"/>
      <c r="P23" s="81"/>
      <c r="Q23" s="82" t="s">
        <v>335</v>
      </c>
      <c r="R23" s="81"/>
      <c r="S23" s="81"/>
      <c r="T23" s="83"/>
      <c r="U23" s="495" t="s">
        <v>1251</v>
      </c>
      <c r="V23" s="83"/>
      <c r="Y23" s="54"/>
    </row>
    <row r="24" spans="1:25" ht="28.5" customHeight="1" x14ac:dyDescent="0.2">
      <c r="A24" s="89" t="s">
        <v>155</v>
      </c>
      <c r="B24" s="90" t="s">
        <v>336</v>
      </c>
      <c r="C24" s="95" t="s">
        <v>29</v>
      </c>
      <c r="D24" s="428">
        <v>950</v>
      </c>
      <c r="E24" s="428">
        <f t="shared" si="2"/>
        <v>0</v>
      </c>
      <c r="F24" s="427">
        <f>-(D24-E24)</f>
        <v>-950</v>
      </c>
      <c r="G24" s="428">
        <v>0</v>
      </c>
      <c r="H24" s="428">
        <v>0</v>
      </c>
      <c r="I24" s="428">
        <v>0</v>
      </c>
      <c r="J24" s="428">
        <v>0</v>
      </c>
      <c r="K24" s="90" t="s">
        <v>337</v>
      </c>
      <c r="L24" s="99"/>
      <c r="M24" s="93">
        <v>0</v>
      </c>
      <c r="N24" s="94">
        <f>(465*3.65)/2</f>
        <v>848.625</v>
      </c>
      <c r="O24" s="95" t="s">
        <v>266</v>
      </c>
      <c r="P24" s="81"/>
      <c r="Q24" s="82"/>
      <c r="R24" s="81"/>
      <c r="S24" s="81"/>
      <c r="T24" s="83"/>
      <c r="U24" s="293"/>
      <c r="V24" s="538" t="s">
        <v>1346</v>
      </c>
      <c r="Y24" s="54"/>
    </row>
    <row r="25" spans="1:25" ht="28.5" customHeight="1" x14ac:dyDescent="0.2">
      <c r="A25" s="89" t="s">
        <v>33</v>
      </c>
      <c r="B25" s="90" t="s">
        <v>338</v>
      </c>
      <c r="C25" s="89" t="s">
        <v>339</v>
      </c>
      <c r="D25" s="428">
        <v>150</v>
      </c>
      <c r="E25" s="428">
        <f t="shared" si="2"/>
        <v>0</v>
      </c>
      <c r="F25" s="427">
        <f>-(D25-E25)</f>
        <v>-150</v>
      </c>
      <c r="G25" s="428">
        <v>0</v>
      </c>
      <c r="H25" s="428">
        <v>0</v>
      </c>
      <c r="I25" s="428">
        <v>0</v>
      </c>
      <c r="J25" s="428">
        <v>0</v>
      </c>
      <c r="K25" s="90" t="s">
        <v>340</v>
      </c>
      <c r="L25" s="93"/>
      <c r="M25" s="97">
        <v>0</v>
      </c>
      <c r="N25" s="98"/>
      <c r="O25" s="95" t="s">
        <v>341</v>
      </c>
      <c r="P25" s="81"/>
      <c r="Q25" s="82" t="s">
        <v>342</v>
      </c>
      <c r="R25" s="81"/>
      <c r="S25" s="81"/>
      <c r="T25" s="83"/>
      <c r="U25" s="293"/>
      <c r="V25" s="538" t="s">
        <v>1347</v>
      </c>
      <c r="Y25" s="54"/>
    </row>
    <row r="26" spans="1:25" ht="38.25" customHeight="1" x14ac:dyDescent="0.2">
      <c r="A26" s="89" t="s">
        <v>36</v>
      </c>
      <c r="B26" s="90" t="s">
        <v>1292</v>
      </c>
      <c r="C26" s="89"/>
      <c r="D26" s="428">
        <v>2500</v>
      </c>
      <c r="E26" s="428">
        <f t="shared" si="2"/>
        <v>0</v>
      </c>
      <c r="F26" s="427">
        <v>-5500</v>
      </c>
      <c r="G26" s="428">
        <v>0</v>
      </c>
      <c r="H26" s="428">
        <v>0</v>
      </c>
      <c r="I26" s="428">
        <v>0</v>
      </c>
      <c r="J26" s="428">
        <v>0</v>
      </c>
      <c r="K26" s="90" t="s">
        <v>1263</v>
      </c>
      <c r="L26" s="93"/>
      <c r="M26" s="97"/>
      <c r="N26" s="98"/>
      <c r="O26" s="95" t="s">
        <v>344</v>
      </c>
      <c r="P26" s="81"/>
      <c r="Q26" s="82"/>
      <c r="R26" s="81"/>
      <c r="S26" s="81"/>
      <c r="T26" s="83"/>
      <c r="U26" s="575" t="s">
        <v>343</v>
      </c>
      <c r="V26" s="542" t="s">
        <v>1350</v>
      </c>
      <c r="Y26" s="54"/>
    </row>
    <row r="27" spans="1:25" ht="31.5" customHeight="1" x14ac:dyDescent="0.2">
      <c r="A27" s="89" t="s">
        <v>39</v>
      </c>
      <c r="B27" s="90" t="s">
        <v>1291</v>
      </c>
      <c r="C27" s="89"/>
      <c r="D27" s="428">
        <v>1200</v>
      </c>
      <c r="E27" s="428">
        <f t="shared" si="2"/>
        <v>0</v>
      </c>
      <c r="F27" s="427">
        <v>-1200</v>
      </c>
      <c r="G27" s="428">
        <v>0</v>
      </c>
      <c r="H27" s="428">
        <v>0</v>
      </c>
      <c r="I27" s="428">
        <v>0</v>
      </c>
      <c r="J27" s="428">
        <v>0</v>
      </c>
      <c r="K27" s="90" t="s">
        <v>1290</v>
      </c>
      <c r="L27" s="93"/>
      <c r="M27" s="97"/>
      <c r="N27" s="98"/>
      <c r="O27" s="95" t="s">
        <v>307</v>
      </c>
      <c r="P27" s="81"/>
      <c r="Q27" s="82"/>
      <c r="R27" s="81"/>
      <c r="S27" s="81"/>
      <c r="T27" s="83"/>
      <c r="U27" s="575" t="s">
        <v>1262</v>
      </c>
      <c r="V27" s="507" t="s">
        <v>1275</v>
      </c>
      <c r="Y27" s="54"/>
    </row>
    <row r="28" spans="1:25" ht="48" x14ac:dyDescent="0.2">
      <c r="A28" s="89" t="s">
        <v>81</v>
      </c>
      <c r="B28" s="90" t="s">
        <v>345</v>
      </c>
      <c r="C28" s="89"/>
      <c r="D28" s="428">
        <v>800</v>
      </c>
      <c r="E28" s="428">
        <f t="shared" si="2"/>
        <v>0</v>
      </c>
      <c r="F28" s="427">
        <f>-(D28-E28)</f>
        <v>-800</v>
      </c>
      <c r="G28" s="428">
        <v>0</v>
      </c>
      <c r="H28" s="428">
        <v>0</v>
      </c>
      <c r="I28" s="428">
        <v>0</v>
      </c>
      <c r="J28" s="428">
        <v>0</v>
      </c>
      <c r="K28" s="90" t="s">
        <v>1273</v>
      </c>
      <c r="L28" s="99"/>
      <c r="M28" s="97">
        <v>0</v>
      </c>
      <c r="N28" s="98"/>
      <c r="O28" s="95" t="s">
        <v>266</v>
      </c>
      <c r="P28" s="81"/>
      <c r="Q28" s="82"/>
      <c r="R28" s="81"/>
      <c r="S28" s="81"/>
      <c r="T28" s="83"/>
      <c r="U28" s="575" t="s">
        <v>343</v>
      </c>
      <c r="V28" s="538" t="s">
        <v>1348</v>
      </c>
      <c r="Y28" s="54"/>
    </row>
    <row r="29" spans="1:25" ht="14.25" x14ac:dyDescent="0.2">
      <c r="A29" s="89"/>
      <c r="B29" s="102" t="s">
        <v>346</v>
      </c>
      <c r="C29" s="89"/>
      <c r="D29" s="429">
        <f>SUM(D5:D28)</f>
        <v>144534</v>
      </c>
      <c r="E29" s="428">
        <f t="shared" si="2"/>
        <v>0</v>
      </c>
      <c r="F29" s="427">
        <f>SUM(F5:F28)</f>
        <v>-147534</v>
      </c>
      <c r="G29" s="429">
        <f>SUM(G5:G28)</f>
        <v>0</v>
      </c>
      <c r="H29" s="429">
        <f>SUM(H5:H28)</f>
        <v>0</v>
      </c>
      <c r="I29" s="429">
        <f>SUM(I5:I28)</f>
        <v>0</v>
      </c>
      <c r="J29" s="429">
        <f>SUM(J5:J28)</f>
        <v>0</v>
      </c>
      <c r="K29" s="103"/>
      <c r="L29" s="104"/>
      <c r="M29" s="105"/>
      <c r="N29" s="98"/>
      <c r="O29" s="106"/>
      <c r="P29" s="81"/>
      <c r="Q29" s="82"/>
      <c r="R29" s="81"/>
      <c r="S29" s="81"/>
      <c r="T29" s="83"/>
      <c r="U29" s="83"/>
      <c r="V29" s="83"/>
    </row>
    <row r="30" spans="1:25" s="16" customFormat="1" hidden="1" x14ac:dyDescent="0.2">
      <c r="A30" s="92" t="s">
        <v>347</v>
      </c>
      <c r="B30" s="97" t="s">
        <v>348</v>
      </c>
      <c r="C30" s="107" t="s">
        <v>349</v>
      </c>
      <c r="D30" s="436"/>
      <c r="E30" s="428"/>
      <c r="F30" s="427"/>
      <c r="G30" s="427"/>
      <c r="H30" s="427"/>
      <c r="I30" s="427"/>
      <c r="J30" s="427"/>
      <c r="K30" s="108"/>
      <c r="L30" s="93"/>
      <c r="M30" s="97" t="e">
        <f>#REF!</f>
        <v>#REF!</v>
      </c>
      <c r="N30" s="94"/>
      <c r="O30" s="109"/>
      <c r="P30" s="96"/>
      <c r="Q30" s="110"/>
      <c r="R30" s="96"/>
      <c r="S30" s="96"/>
      <c r="T30" s="111"/>
      <c r="U30" s="111"/>
      <c r="V30" s="111"/>
      <c r="Y30" s="112"/>
    </row>
    <row r="31" spans="1:25" s="16" customFormat="1" hidden="1" x14ac:dyDescent="0.2">
      <c r="A31" s="92" t="s">
        <v>60</v>
      </c>
      <c r="B31" s="97" t="s">
        <v>350</v>
      </c>
      <c r="C31" s="91" t="s">
        <v>351</v>
      </c>
      <c r="D31" s="436"/>
      <c r="E31" s="428"/>
      <c r="F31" s="427"/>
      <c r="G31" s="427"/>
      <c r="H31" s="427"/>
      <c r="I31" s="427"/>
      <c r="J31" s="427"/>
      <c r="K31" s="108" t="s">
        <v>352</v>
      </c>
      <c r="L31" s="93"/>
      <c r="M31" s="97">
        <v>100</v>
      </c>
      <c r="N31" s="94"/>
      <c r="O31" s="76"/>
      <c r="P31" s="96"/>
      <c r="Q31" s="110"/>
      <c r="R31" s="96"/>
      <c r="S31" s="96"/>
      <c r="T31" s="111"/>
      <c r="U31" s="111"/>
      <c r="V31" s="111"/>
      <c r="Y31" s="112"/>
    </row>
    <row r="32" spans="1:25" ht="14.25" x14ac:dyDescent="0.2">
      <c r="A32" s="116"/>
      <c r="B32" s="117" t="s">
        <v>353</v>
      </c>
      <c r="C32" s="118"/>
      <c r="D32" s="443"/>
      <c r="E32" s="443"/>
      <c r="F32" s="119"/>
      <c r="G32" s="119"/>
      <c r="H32" s="119"/>
      <c r="I32" s="119"/>
      <c r="J32" s="119"/>
      <c r="K32" s="120"/>
      <c r="L32" s="121"/>
      <c r="M32" s="122"/>
      <c r="N32" s="116"/>
      <c r="O32" s="123"/>
      <c r="P32" s="83"/>
      <c r="Q32" s="115"/>
      <c r="R32" s="83"/>
      <c r="S32" s="83"/>
      <c r="T32" s="83"/>
      <c r="U32" s="83"/>
      <c r="V32" s="83"/>
    </row>
    <row r="33" spans="1:21" ht="59.25" customHeight="1" x14ac:dyDescent="0.2">
      <c r="A33" s="73" t="s">
        <v>20</v>
      </c>
      <c r="B33" s="634" t="s">
        <v>354</v>
      </c>
      <c r="C33" s="634"/>
      <c r="D33" s="634"/>
      <c r="E33" s="634"/>
      <c r="F33" s="634"/>
      <c r="G33" s="634"/>
      <c r="H33" s="634"/>
      <c r="I33" s="634"/>
      <c r="J33" s="634"/>
      <c r="K33" s="634"/>
      <c r="L33" s="634"/>
      <c r="M33" s="634"/>
      <c r="N33" s="634"/>
      <c r="O33" s="634"/>
    </row>
    <row r="34" spans="1:21" ht="28.5" customHeight="1" x14ac:dyDescent="0.2">
      <c r="A34" s="73" t="s">
        <v>28</v>
      </c>
      <c r="B34" s="628" t="s">
        <v>355</v>
      </c>
      <c r="C34" s="628"/>
      <c r="D34" s="628"/>
      <c r="E34" s="628"/>
      <c r="F34" s="628"/>
      <c r="G34" s="628"/>
      <c r="H34" s="628"/>
      <c r="I34" s="628"/>
      <c r="J34" s="628"/>
      <c r="K34" s="628"/>
      <c r="L34" s="628"/>
      <c r="M34" s="628"/>
      <c r="N34" s="628"/>
      <c r="O34" s="628"/>
    </row>
    <row r="35" spans="1:21" ht="24" customHeight="1" x14ac:dyDescent="0.2">
      <c r="A35" s="73" t="s">
        <v>26</v>
      </c>
      <c r="B35" s="628" t="s">
        <v>356</v>
      </c>
      <c r="C35" s="628"/>
      <c r="D35" s="628"/>
      <c r="E35" s="628"/>
      <c r="F35" s="628"/>
      <c r="G35" s="628"/>
      <c r="H35" s="628"/>
      <c r="I35" s="628"/>
      <c r="J35" s="628"/>
      <c r="K35" s="628"/>
      <c r="L35" s="628"/>
      <c r="M35" s="628"/>
      <c r="N35" s="628"/>
      <c r="O35" s="628"/>
    </row>
    <row r="36" spans="1:21" ht="28.5" customHeight="1" x14ac:dyDescent="0.2">
      <c r="A36" s="73" t="s">
        <v>155</v>
      </c>
      <c r="B36" s="628" t="s">
        <v>357</v>
      </c>
      <c r="C36" s="628"/>
      <c r="D36" s="628"/>
      <c r="E36" s="628"/>
      <c r="F36" s="628"/>
      <c r="G36" s="628"/>
      <c r="H36" s="628"/>
      <c r="I36" s="628"/>
      <c r="J36" s="628"/>
      <c r="K36" s="628"/>
      <c r="L36" s="628"/>
      <c r="M36" s="628"/>
      <c r="N36" s="628"/>
      <c r="O36" s="628"/>
    </row>
    <row r="38" spans="1:21" ht="12.75" customHeight="1" x14ac:dyDescent="0.2">
      <c r="B38" s="630" t="s">
        <v>1304</v>
      </c>
      <c r="C38" s="630"/>
      <c r="D38" s="630"/>
      <c r="E38" s="630"/>
      <c r="F38" s="630"/>
      <c r="G38" s="630"/>
      <c r="H38" s="630"/>
      <c r="I38" s="630"/>
      <c r="J38" s="630"/>
      <c r="K38" s="630"/>
    </row>
    <row r="39" spans="1:21" ht="28.5" customHeight="1" x14ac:dyDescent="0.2">
      <c r="B39" s="580" t="s">
        <v>1302</v>
      </c>
      <c r="D39" s="581" t="s">
        <v>358</v>
      </c>
      <c r="F39" s="128" t="s">
        <v>359</v>
      </c>
      <c r="J39" s="467" t="s">
        <v>1220</v>
      </c>
      <c r="K39" s="500" t="s">
        <v>50</v>
      </c>
    </row>
    <row r="40" spans="1:21" ht="12.75" customHeight="1" x14ac:dyDescent="0.25">
      <c r="B40" s="124" t="s">
        <v>360</v>
      </c>
      <c r="D40" s="479">
        <v>375</v>
      </c>
      <c r="F40" s="499">
        <v>45</v>
      </c>
      <c r="J40" s="468">
        <f>K40*0.85</f>
        <v>14343.75</v>
      </c>
      <c r="K40" s="463">
        <f t="shared" ref="K40:K45" si="3">D40*F40</f>
        <v>16875</v>
      </c>
    </row>
    <row r="41" spans="1:21" ht="12.75" customHeight="1" x14ac:dyDescent="0.25">
      <c r="B41" s="124" t="s">
        <v>361</v>
      </c>
      <c r="D41" s="479">
        <v>16</v>
      </c>
      <c r="F41" s="499">
        <v>10</v>
      </c>
      <c r="J41" s="469"/>
      <c r="K41" s="463">
        <f t="shared" si="3"/>
        <v>160</v>
      </c>
    </row>
    <row r="42" spans="1:21" ht="12.75" customHeight="1" x14ac:dyDescent="0.25">
      <c r="B42" s="124" t="s">
        <v>362</v>
      </c>
      <c r="D42" s="479">
        <v>114</v>
      </c>
      <c r="F42" s="499">
        <v>0</v>
      </c>
      <c r="J42" s="469"/>
      <c r="K42" s="463">
        <f t="shared" si="3"/>
        <v>0</v>
      </c>
    </row>
    <row r="43" spans="1:21" ht="12.75" customHeight="1" x14ac:dyDescent="0.25">
      <c r="B43" s="124" t="s">
        <v>363</v>
      </c>
      <c r="D43" s="479">
        <v>1</v>
      </c>
      <c r="F43" s="499">
        <v>0</v>
      </c>
      <c r="J43" s="469"/>
      <c r="K43" s="463">
        <f t="shared" si="3"/>
        <v>0</v>
      </c>
    </row>
    <row r="44" spans="1:21" ht="12.75" customHeight="1" x14ac:dyDescent="0.25">
      <c r="B44" s="124" t="s">
        <v>364</v>
      </c>
      <c r="D44" s="479">
        <v>80</v>
      </c>
      <c r="F44" s="499">
        <v>-45</v>
      </c>
      <c r="J44" s="469">
        <f>K44</f>
        <v>-3600</v>
      </c>
      <c r="K44" s="463">
        <f t="shared" si="3"/>
        <v>-3600</v>
      </c>
      <c r="U44" s="631" t="s">
        <v>1233</v>
      </c>
    </row>
    <row r="45" spans="1:21" ht="12.75" customHeight="1" x14ac:dyDescent="0.25">
      <c r="B45" s="124" t="s">
        <v>365</v>
      </c>
      <c r="D45" s="479">
        <v>18</v>
      </c>
      <c r="F45" s="499">
        <v>0</v>
      </c>
      <c r="J45" s="469"/>
      <c r="K45" s="464">
        <f t="shared" si="3"/>
        <v>0</v>
      </c>
      <c r="U45" s="631"/>
    </row>
    <row r="46" spans="1:21" ht="12.75" customHeight="1" x14ac:dyDescent="0.2">
      <c r="B46" s="124" t="s">
        <v>366</v>
      </c>
      <c r="D46" s="130"/>
      <c r="E46" s="131"/>
      <c r="J46" s="470">
        <f>SUM(J40:J45)</f>
        <v>10743.75</v>
      </c>
      <c r="K46" s="466">
        <f>SUM(K40:K45)</f>
        <v>13435</v>
      </c>
      <c r="U46" s="631"/>
    </row>
    <row r="47" spans="1:21" ht="12.75" customHeight="1" x14ac:dyDescent="0.2">
      <c r="B47" s="124" t="s">
        <v>367</v>
      </c>
      <c r="D47" s="130"/>
      <c r="E47" s="131"/>
      <c r="G47" s="465"/>
      <c r="K47" s="463">
        <f>F5</f>
        <v>-13125</v>
      </c>
    </row>
    <row r="48" spans="1:21" ht="12.75" customHeight="1" x14ac:dyDescent="0.2">
      <c r="B48" s="124" t="s">
        <v>368</v>
      </c>
      <c r="D48" s="130"/>
      <c r="E48" s="129"/>
      <c r="G48" s="129"/>
      <c r="K48" s="463">
        <f>K46+K47</f>
        <v>310</v>
      </c>
    </row>
    <row r="49" spans="4:7" ht="12.75" customHeight="1" x14ac:dyDescent="0.2">
      <c r="D49" s="130"/>
      <c r="E49" s="132"/>
      <c r="F49" s="133"/>
      <c r="G49" s="132"/>
    </row>
    <row r="50" spans="4:7" ht="12.75" customHeight="1" x14ac:dyDescent="0.2">
      <c r="D50" s="130"/>
    </row>
  </sheetData>
  <mergeCells count="8">
    <mergeCell ref="U44:U46"/>
    <mergeCell ref="B36:O36"/>
    <mergeCell ref="A2:O2"/>
    <mergeCell ref="A4:O4"/>
    <mergeCell ref="B33:O33"/>
    <mergeCell ref="B34:O34"/>
    <mergeCell ref="B35:O35"/>
    <mergeCell ref="B38:K38"/>
  </mergeCells>
  <conditionalFormatting sqref="G8:J16 G19:J28 F40:F45 K40:K48 E46:E47 F49">
    <cfRule type="cellIs" dxfId="2" priority="2" stopIfTrue="1" operator="greaterThan">
      <formula>0</formula>
    </cfRule>
  </conditionalFormatting>
  <conditionalFormatting sqref="J46">
    <cfRule type="cellIs" dxfId="1" priority="1" stopIfTrue="1" operator="greaterThan">
      <formula>0</formula>
    </cfRule>
  </conditionalFormatting>
  <pageMargins left="0.2" right="0.2" top="1.0610000000000002" bottom="1.1437000000000002" header="0.30000000000000004" footer="0.75000000000000011"/>
  <pageSetup fitToHeight="0" orientation="portrait" r:id="rId1"/>
  <headerFooter alignWithMargins="0">
    <oddHeader>&amp;C&amp;"Calibri,Regular"&amp;10Council 8600 Budget</oddHeader>
  </headerFooter>
  <colBreaks count="1" manualBreakCount="1">
    <brk id="1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7"/>
  <sheetViews>
    <sheetView topLeftCell="A13" zoomScaleNormal="100" workbookViewId="0">
      <selection activeCell="N6" sqref="N6"/>
    </sheetView>
  </sheetViews>
  <sheetFormatPr defaultRowHeight="14.25" x14ac:dyDescent="0.2"/>
  <cols>
    <col min="1" max="1" width="5" customWidth="1"/>
    <col min="2" max="2" width="18.125" style="124" customWidth="1"/>
    <col min="3" max="3" width="14.625" style="157" customWidth="1"/>
    <col min="4" max="4" width="6.5" style="157" customWidth="1"/>
    <col min="5" max="5" width="56.5" style="124" customWidth="1"/>
    <col min="6" max="6" width="13.75" style="124" hidden="1" customWidth="1"/>
    <col min="7" max="7" width="9.625" style="16" hidden="1" customWidth="1"/>
    <col min="8" max="8" width="5.375" hidden="1" customWidth="1"/>
    <col min="9" max="9" width="5.875" hidden="1" customWidth="1"/>
    <col min="10" max="10" width="5" hidden="1" customWidth="1"/>
    <col min="11" max="11" width="4.75" hidden="1" customWidth="1"/>
    <col min="12" max="12" width="11.25" style="158" customWidth="1"/>
    <col min="13" max="13" width="1.625" customWidth="1"/>
    <col min="14" max="14" width="33.125" style="124" customWidth="1"/>
    <col min="15" max="15" width="34.5" customWidth="1"/>
    <col min="16" max="16" width="7.625" customWidth="1"/>
    <col min="17" max="21" width="7.75" customWidth="1"/>
    <col min="22" max="22" width="10.75" customWidth="1"/>
    <col min="23" max="23" width="9.75" style="16" customWidth="1"/>
    <col min="24" max="1024" width="7.375" customWidth="1"/>
  </cols>
  <sheetData>
    <row r="1" spans="1:22" ht="24" hidden="1" x14ac:dyDescent="0.2">
      <c r="A1" s="98"/>
      <c r="B1" s="75" t="s">
        <v>249</v>
      </c>
      <c r="C1" s="134"/>
      <c r="D1" s="134"/>
      <c r="E1" s="78" t="e">
        <f>#REF!</f>
        <v>#REF!</v>
      </c>
      <c r="F1" s="78"/>
      <c r="G1" s="78"/>
      <c r="H1" s="78"/>
      <c r="I1" s="78"/>
      <c r="J1" s="78"/>
      <c r="K1" s="78"/>
      <c r="L1" s="80" t="s">
        <v>250</v>
      </c>
      <c r="M1" s="81"/>
      <c r="N1" s="82"/>
      <c r="O1" s="81"/>
      <c r="P1" s="81"/>
      <c r="Q1" s="83"/>
      <c r="R1" s="83"/>
      <c r="S1" s="83"/>
    </row>
    <row r="2" spans="1:22" ht="12.75" customHeight="1" x14ac:dyDescent="0.2">
      <c r="A2" s="635" t="str">
        <f>Income!A2</f>
        <v>2024-25 Council  8600 Budget, Grand Knight Joseph Minus</v>
      </c>
      <c r="B2" s="635"/>
      <c r="C2" s="635"/>
      <c r="D2" s="635"/>
      <c r="E2" s="635"/>
      <c r="F2" s="135"/>
      <c r="G2" s="136"/>
      <c r="H2" s="136"/>
      <c r="I2" s="136"/>
      <c r="J2" s="136"/>
      <c r="K2" s="136"/>
      <c r="L2" s="137"/>
      <c r="M2" s="81"/>
      <c r="N2" s="484"/>
      <c r="O2" s="485"/>
      <c r="P2" s="486"/>
      <c r="Q2" s="83"/>
      <c r="R2" s="83"/>
      <c r="S2" s="83"/>
    </row>
    <row r="3" spans="1:22" ht="30" customHeight="1" x14ac:dyDescent="0.2">
      <c r="A3" s="593" t="s">
        <v>369</v>
      </c>
      <c r="B3" s="593" t="s">
        <v>251</v>
      </c>
      <c r="C3" s="594" t="s">
        <v>1250</v>
      </c>
      <c r="D3" s="594" t="s">
        <v>371</v>
      </c>
      <c r="E3" s="595" t="s">
        <v>1312</v>
      </c>
      <c r="F3" s="595" t="s">
        <v>372</v>
      </c>
      <c r="G3" s="595" t="s">
        <v>373</v>
      </c>
      <c r="H3" s="595" t="s">
        <v>374</v>
      </c>
      <c r="I3" s="595" t="s">
        <v>375</v>
      </c>
      <c r="J3" s="595" t="s">
        <v>376</v>
      </c>
      <c r="K3" s="595" t="s">
        <v>377</v>
      </c>
      <c r="L3" s="593" t="s">
        <v>262</v>
      </c>
      <c r="M3" s="81"/>
      <c r="N3" s="484"/>
      <c r="O3" s="485"/>
      <c r="P3" s="485"/>
      <c r="Q3" s="83"/>
      <c r="R3" s="83"/>
      <c r="S3" s="83"/>
    </row>
    <row r="4" spans="1:22" ht="22.5" customHeight="1" x14ac:dyDescent="0.2">
      <c r="A4" s="636" t="s">
        <v>378</v>
      </c>
      <c r="B4" s="636"/>
      <c r="C4" s="636"/>
      <c r="D4" s="636"/>
      <c r="E4" s="636"/>
      <c r="F4" s="636"/>
      <c r="G4" s="636"/>
      <c r="H4" s="636"/>
      <c r="I4" s="636"/>
      <c r="J4" s="636"/>
      <c r="K4" s="636"/>
      <c r="L4" s="636"/>
      <c r="M4" s="81"/>
      <c r="N4" s="484"/>
      <c r="O4" s="485"/>
      <c r="P4" s="412"/>
      <c r="Q4" s="83"/>
      <c r="R4" s="83"/>
      <c r="S4" s="83"/>
    </row>
    <row r="5" spans="1:22" ht="47.25" customHeight="1" x14ac:dyDescent="0.2">
      <c r="A5" s="89" t="s">
        <v>379</v>
      </c>
      <c r="B5" s="139" t="s">
        <v>380</v>
      </c>
      <c r="C5" s="435">
        <v>1320</v>
      </c>
      <c r="D5" s="436" t="s">
        <v>381</v>
      </c>
      <c r="E5" s="139" t="s">
        <v>382</v>
      </c>
      <c r="F5" s="430">
        <f t="shared" ref="F5:F13" si="0">C5-G5</f>
        <v>1320</v>
      </c>
      <c r="G5" s="140">
        <f t="shared" ref="G5:G20" si="1">SUM(H5:K5)</f>
        <v>0</v>
      </c>
      <c r="H5" s="140">
        <v>0</v>
      </c>
      <c r="I5" s="140">
        <v>0</v>
      </c>
      <c r="J5" s="140">
        <v>0</v>
      </c>
      <c r="K5" s="140">
        <v>0</v>
      </c>
      <c r="L5" s="95" t="s">
        <v>383</v>
      </c>
      <c r="M5" s="81"/>
      <c r="N5" s="82" t="s">
        <v>1360</v>
      </c>
      <c r="O5" s="81"/>
      <c r="P5" s="81"/>
      <c r="Q5" s="83"/>
      <c r="R5" s="83"/>
      <c r="S5" s="83"/>
      <c r="V5" s="54"/>
    </row>
    <row r="6" spans="1:22" ht="20.85" customHeight="1" x14ac:dyDescent="0.2">
      <c r="A6" s="89" t="s">
        <v>77</v>
      </c>
      <c r="B6" s="90" t="s">
        <v>384</v>
      </c>
      <c r="C6" s="435">
        <v>150</v>
      </c>
      <c r="D6" s="436" t="s">
        <v>381</v>
      </c>
      <c r="E6" s="141" t="s">
        <v>385</v>
      </c>
      <c r="F6" s="430">
        <f t="shared" si="0"/>
        <v>150</v>
      </c>
      <c r="G6" s="140">
        <f t="shared" si="1"/>
        <v>0</v>
      </c>
      <c r="H6" s="140">
        <v>0</v>
      </c>
      <c r="I6" s="140">
        <v>0</v>
      </c>
      <c r="J6" s="140">
        <v>0</v>
      </c>
      <c r="K6" s="140">
        <v>0</v>
      </c>
      <c r="L6" s="95" t="s">
        <v>313</v>
      </c>
      <c r="M6" s="81"/>
      <c r="N6" s="82"/>
      <c r="O6" s="81"/>
      <c r="P6" s="81"/>
      <c r="Q6" s="83"/>
      <c r="R6" s="83"/>
      <c r="S6" s="83"/>
      <c r="V6" s="54"/>
    </row>
    <row r="7" spans="1:22" ht="48" x14ac:dyDescent="0.2">
      <c r="A7" s="89" t="s">
        <v>386</v>
      </c>
      <c r="B7" s="90" t="s">
        <v>387</v>
      </c>
      <c r="C7" s="477">
        <v>1000</v>
      </c>
      <c r="D7" s="436" t="s">
        <v>381</v>
      </c>
      <c r="E7" s="90" t="s">
        <v>1264</v>
      </c>
      <c r="F7" s="430">
        <f t="shared" si="0"/>
        <v>1000</v>
      </c>
      <c r="G7" s="140">
        <f t="shared" si="1"/>
        <v>0</v>
      </c>
      <c r="H7" s="142">
        <v>0</v>
      </c>
      <c r="I7" s="142">
        <v>0</v>
      </c>
      <c r="J7" s="142">
        <v>0</v>
      </c>
      <c r="K7" s="142">
        <v>0</v>
      </c>
      <c r="L7" s="95" t="s">
        <v>341</v>
      </c>
      <c r="M7" s="81"/>
      <c r="N7" s="476"/>
      <c r="O7" s="81"/>
      <c r="P7" s="81"/>
      <c r="Q7" s="83"/>
      <c r="R7" s="83"/>
      <c r="S7" s="83"/>
    </row>
    <row r="8" spans="1:22" ht="24" customHeight="1" x14ac:dyDescent="0.2">
      <c r="A8" s="89" t="s">
        <v>79</v>
      </c>
      <c r="B8" s="90" t="s">
        <v>388</v>
      </c>
      <c r="C8" s="435">
        <v>500</v>
      </c>
      <c r="D8" s="436" t="s">
        <v>381</v>
      </c>
      <c r="E8" s="143" t="s">
        <v>389</v>
      </c>
      <c r="F8" s="430">
        <f t="shared" si="0"/>
        <v>500</v>
      </c>
      <c r="G8" s="140">
        <f t="shared" si="1"/>
        <v>0</v>
      </c>
      <c r="H8" s="144">
        <v>0</v>
      </c>
      <c r="I8" s="144">
        <v>0</v>
      </c>
      <c r="J8" s="144">
        <v>0</v>
      </c>
      <c r="K8" s="144">
        <v>0</v>
      </c>
      <c r="L8" s="95" t="s">
        <v>341</v>
      </c>
      <c r="M8" s="81"/>
      <c r="N8" s="82"/>
      <c r="O8" s="81"/>
      <c r="P8" s="81"/>
      <c r="Q8" s="83"/>
      <c r="R8" s="83"/>
      <c r="S8" s="83"/>
      <c r="V8" s="54"/>
    </row>
    <row r="9" spans="1:22" ht="34.5" customHeight="1" x14ac:dyDescent="0.2">
      <c r="A9" s="89" t="s">
        <v>87</v>
      </c>
      <c r="B9" s="90" t="s">
        <v>390</v>
      </c>
      <c r="C9" s="437">
        <v>700</v>
      </c>
      <c r="D9" s="438" t="s">
        <v>381</v>
      </c>
      <c r="E9" s="145" t="s">
        <v>391</v>
      </c>
      <c r="F9" s="430">
        <f t="shared" si="0"/>
        <v>700</v>
      </c>
      <c r="G9" s="140">
        <f t="shared" si="1"/>
        <v>0</v>
      </c>
      <c r="H9" s="144">
        <v>0</v>
      </c>
      <c r="I9" s="146">
        <v>0</v>
      </c>
      <c r="J9" s="146">
        <v>0</v>
      </c>
      <c r="K9" s="146">
        <v>0</v>
      </c>
      <c r="L9" s="95" t="s">
        <v>341</v>
      </c>
      <c r="M9" s="81"/>
      <c r="N9" s="414" t="s">
        <v>392</v>
      </c>
      <c r="O9" s="81"/>
      <c r="P9" s="81"/>
      <c r="Q9" s="83"/>
      <c r="R9" s="83"/>
      <c r="S9" s="83"/>
      <c r="V9" s="54"/>
    </row>
    <row r="10" spans="1:22" ht="29.25" customHeight="1" x14ac:dyDescent="0.2">
      <c r="A10" s="89" t="s">
        <v>93</v>
      </c>
      <c r="B10" s="90" t="s">
        <v>393</v>
      </c>
      <c r="C10" s="435">
        <v>50</v>
      </c>
      <c r="D10" s="436" t="s">
        <v>381</v>
      </c>
      <c r="E10" s="90" t="s">
        <v>1321</v>
      </c>
      <c r="F10" s="430">
        <f t="shared" si="0"/>
        <v>50</v>
      </c>
      <c r="G10" s="140">
        <f t="shared" si="1"/>
        <v>0</v>
      </c>
      <c r="H10" s="144">
        <v>0</v>
      </c>
      <c r="I10" s="144">
        <v>0</v>
      </c>
      <c r="J10" s="144">
        <v>0</v>
      </c>
      <c r="K10" s="144">
        <v>0</v>
      </c>
      <c r="L10" s="95" t="s">
        <v>383</v>
      </c>
      <c r="M10" s="81"/>
      <c r="N10" s="476" t="s">
        <v>1255</v>
      </c>
      <c r="O10" s="81"/>
      <c r="P10" s="81"/>
      <c r="Q10" s="83"/>
      <c r="R10" s="83"/>
      <c r="S10" s="83"/>
      <c r="V10" s="54"/>
    </row>
    <row r="11" spans="1:22" ht="30.75" customHeight="1" x14ac:dyDescent="0.2">
      <c r="A11" s="89" t="s">
        <v>394</v>
      </c>
      <c r="B11" s="90" t="s">
        <v>395</v>
      </c>
      <c r="C11" s="435">
        <v>250</v>
      </c>
      <c r="D11" s="436"/>
      <c r="E11" s="90" t="s">
        <v>1322</v>
      </c>
      <c r="F11" s="430">
        <f t="shared" si="0"/>
        <v>250</v>
      </c>
      <c r="G11" s="140">
        <f t="shared" si="1"/>
        <v>0</v>
      </c>
      <c r="H11" s="144">
        <v>0</v>
      </c>
      <c r="I11" s="144">
        <v>0</v>
      </c>
      <c r="J11" s="144">
        <v>0</v>
      </c>
      <c r="K11" s="144">
        <v>0</v>
      </c>
      <c r="L11" s="95" t="s">
        <v>383</v>
      </c>
      <c r="M11" s="81"/>
      <c r="N11" s="476" t="s">
        <v>1255</v>
      </c>
      <c r="O11" s="81"/>
      <c r="P11" s="81"/>
      <c r="Q11" s="83"/>
      <c r="R11" s="83"/>
      <c r="S11" s="83"/>
      <c r="V11" s="54"/>
    </row>
    <row r="12" spans="1:22" ht="24" x14ac:dyDescent="0.2">
      <c r="A12" s="89" t="s">
        <v>396</v>
      </c>
      <c r="B12" s="90" t="s">
        <v>397</v>
      </c>
      <c r="C12" s="477">
        <v>0</v>
      </c>
      <c r="D12" s="436" t="s">
        <v>381</v>
      </c>
      <c r="E12" s="90" t="s">
        <v>398</v>
      </c>
      <c r="F12" s="430">
        <f t="shared" si="0"/>
        <v>0</v>
      </c>
      <c r="G12" s="140">
        <f t="shared" si="1"/>
        <v>0</v>
      </c>
      <c r="H12" s="144">
        <v>0</v>
      </c>
      <c r="I12" s="144">
        <v>0</v>
      </c>
      <c r="J12" s="144">
        <v>0</v>
      </c>
      <c r="K12" s="144">
        <v>0</v>
      </c>
      <c r="L12" s="95" t="s">
        <v>334</v>
      </c>
      <c r="M12" s="81"/>
      <c r="N12" s="478" t="s">
        <v>1247</v>
      </c>
      <c r="O12" s="81"/>
      <c r="P12" s="81"/>
      <c r="Q12" s="83"/>
      <c r="R12" s="83"/>
      <c r="S12" s="83"/>
      <c r="V12" s="54"/>
    </row>
    <row r="13" spans="1:22" ht="51" customHeight="1" x14ac:dyDescent="0.2">
      <c r="A13" s="89" t="s">
        <v>98</v>
      </c>
      <c r="B13" s="90" t="s">
        <v>399</v>
      </c>
      <c r="C13" s="435">
        <v>4750</v>
      </c>
      <c r="D13" s="436" t="s">
        <v>381</v>
      </c>
      <c r="E13" s="90" t="s">
        <v>400</v>
      </c>
      <c r="F13" s="430">
        <f t="shared" si="0"/>
        <v>4750</v>
      </c>
      <c r="G13" s="140">
        <f t="shared" si="1"/>
        <v>0</v>
      </c>
      <c r="H13" s="144">
        <v>0</v>
      </c>
      <c r="I13" s="144">
        <v>0</v>
      </c>
      <c r="J13" s="144">
        <v>0</v>
      </c>
      <c r="K13" s="144">
        <v>0</v>
      </c>
      <c r="L13" s="95" t="s">
        <v>401</v>
      </c>
      <c r="M13" s="81"/>
      <c r="N13" s="411" t="s">
        <v>1300</v>
      </c>
      <c r="O13" s="82"/>
      <c r="P13" s="81"/>
      <c r="Q13" s="83"/>
      <c r="R13" s="83"/>
      <c r="S13" s="83"/>
      <c r="V13" s="54"/>
    </row>
    <row r="14" spans="1:22" ht="31.5" customHeight="1" x14ac:dyDescent="0.2">
      <c r="A14" s="89" t="s">
        <v>15</v>
      </c>
      <c r="B14" s="90" t="s">
        <v>907</v>
      </c>
      <c r="C14" s="531">
        <v>500</v>
      </c>
      <c r="D14" s="436" t="s">
        <v>381</v>
      </c>
      <c r="E14" s="240" t="s">
        <v>1231</v>
      </c>
      <c r="F14" s="430">
        <v>300</v>
      </c>
      <c r="G14" s="140">
        <f t="shared" si="1"/>
        <v>0</v>
      </c>
      <c r="H14" s="144">
        <v>0</v>
      </c>
      <c r="I14" s="144">
        <v>0</v>
      </c>
      <c r="J14" s="144">
        <v>0</v>
      </c>
      <c r="K14" s="144">
        <v>0</v>
      </c>
      <c r="L14" s="95"/>
      <c r="M14" s="81"/>
      <c r="N14" s="476" t="s">
        <v>1255</v>
      </c>
      <c r="O14" s="482" t="s">
        <v>1230</v>
      </c>
      <c r="P14" s="81"/>
      <c r="Q14" s="83"/>
      <c r="R14" s="83"/>
      <c r="S14" s="83"/>
      <c r="V14" s="54"/>
    </row>
    <row r="15" spans="1:22" ht="24" x14ac:dyDescent="0.2">
      <c r="A15" s="89" t="s">
        <v>13</v>
      </c>
      <c r="B15" s="90" t="s">
        <v>402</v>
      </c>
      <c r="C15" s="435">
        <v>250</v>
      </c>
      <c r="D15" s="436" t="s">
        <v>381</v>
      </c>
      <c r="E15" s="90" t="s">
        <v>1194</v>
      </c>
      <c r="F15" s="430">
        <f>C15-G15</f>
        <v>250</v>
      </c>
      <c r="G15" s="140">
        <f t="shared" si="1"/>
        <v>0</v>
      </c>
      <c r="H15" s="144">
        <v>0</v>
      </c>
      <c r="I15" s="144">
        <v>0</v>
      </c>
      <c r="J15" s="144">
        <v>0</v>
      </c>
      <c r="K15" s="144">
        <v>0</v>
      </c>
      <c r="L15" s="95" t="s">
        <v>403</v>
      </c>
      <c r="M15" s="81"/>
      <c r="N15" s="483" t="s">
        <v>1226</v>
      </c>
      <c r="O15" s="81"/>
      <c r="P15" s="81"/>
      <c r="Q15" s="83"/>
      <c r="R15" s="83"/>
      <c r="S15" s="83"/>
      <c r="V15" s="54"/>
    </row>
    <row r="16" spans="1:22" ht="39.75" customHeight="1" x14ac:dyDescent="0.2">
      <c r="A16" s="89" t="s">
        <v>404</v>
      </c>
      <c r="B16" s="139" t="s">
        <v>405</v>
      </c>
      <c r="C16" s="435">
        <v>3000</v>
      </c>
      <c r="D16" s="436" t="s">
        <v>381</v>
      </c>
      <c r="E16" s="139" t="s">
        <v>406</v>
      </c>
      <c r="F16" s="430">
        <f>C16-G16</f>
        <v>3000</v>
      </c>
      <c r="G16" s="140">
        <f t="shared" si="1"/>
        <v>0</v>
      </c>
      <c r="H16" s="140">
        <v>0</v>
      </c>
      <c r="I16" s="140">
        <v>0</v>
      </c>
      <c r="J16" s="140">
        <v>0</v>
      </c>
      <c r="K16" s="140">
        <v>0</v>
      </c>
      <c r="L16" s="95" t="s">
        <v>407</v>
      </c>
      <c r="M16" s="81"/>
      <c r="N16" s="461"/>
      <c r="O16" s="411" t="s">
        <v>1278</v>
      </c>
      <c r="P16" s="81"/>
      <c r="Q16" s="83"/>
      <c r="R16" s="83"/>
      <c r="S16" s="83"/>
      <c r="V16" s="54"/>
    </row>
    <row r="17" spans="1:23" ht="24" customHeight="1" x14ac:dyDescent="0.2">
      <c r="A17" s="89" t="s">
        <v>30</v>
      </c>
      <c r="B17" s="139" t="s">
        <v>408</v>
      </c>
      <c r="C17" s="435">
        <v>1000</v>
      </c>
      <c r="D17" s="436"/>
      <c r="E17" s="90" t="s">
        <v>1295</v>
      </c>
      <c r="F17" s="430">
        <v>5500</v>
      </c>
      <c r="G17" s="140">
        <f t="shared" si="1"/>
        <v>0</v>
      </c>
      <c r="H17" s="140">
        <v>0</v>
      </c>
      <c r="I17" s="140">
        <v>0</v>
      </c>
      <c r="J17" s="140">
        <v>0</v>
      </c>
      <c r="K17" s="140">
        <v>0</v>
      </c>
      <c r="L17" s="95" t="s">
        <v>383</v>
      </c>
      <c r="M17" s="81"/>
      <c r="O17" s="543" t="s">
        <v>1279</v>
      </c>
      <c r="P17" s="81"/>
      <c r="Q17" s="83"/>
      <c r="R17" s="83"/>
      <c r="S17" s="83"/>
      <c r="V17" s="54"/>
    </row>
    <row r="18" spans="1:23" ht="24" x14ac:dyDescent="0.2">
      <c r="A18" s="89" t="s">
        <v>38</v>
      </c>
      <c r="B18" s="90" t="s">
        <v>409</v>
      </c>
      <c r="C18" s="435">
        <v>200</v>
      </c>
      <c r="D18" s="436" t="s">
        <v>381</v>
      </c>
      <c r="E18" s="90" t="s">
        <v>1236</v>
      </c>
      <c r="F18" s="430">
        <f>C18-G18</f>
        <v>200</v>
      </c>
      <c r="G18" s="140">
        <f t="shared" si="1"/>
        <v>0</v>
      </c>
      <c r="H18" s="140">
        <v>0</v>
      </c>
      <c r="I18" s="140">
        <v>0</v>
      </c>
      <c r="J18" s="140">
        <v>0</v>
      </c>
      <c r="K18" s="140">
        <v>0</v>
      </c>
      <c r="L18" s="95" t="s">
        <v>334</v>
      </c>
      <c r="M18" s="81"/>
      <c r="N18" s="82"/>
      <c r="O18" s="81"/>
      <c r="P18" s="81"/>
      <c r="Q18" s="83"/>
      <c r="R18" s="83"/>
      <c r="S18" s="83"/>
      <c r="V18" s="54"/>
    </row>
    <row r="19" spans="1:23" ht="37.5" customHeight="1" x14ac:dyDescent="0.2">
      <c r="A19" s="89" t="s">
        <v>49</v>
      </c>
      <c r="B19" s="90" t="s">
        <v>410</v>
      </c>
      <c r="C19" s="435">
        <v>8500</v>
      </c>
      <c r="D19" s="436"/>
      <c r="E19" s="143" t="s">
        <v>1323</v>
      </c>
      <c r="F19" s="430">
        <f>C19-G19</f>
        <v>8500</v>
      </c>
      <c r="G19" s="140">
        <f t="shared" si="1"/>
        <v>0</v>
      </c>
      <c r="H19" s="140">
        <v>0</v>
      </c>
      <c r="I19" s="140">
        <v>0</v>
      </c>
      <c r="J19" s="140">
        <v>0</v>
      </c>
      <c r="K19" s="140">
        <v>0</v>
      </c>
      <c r="L19" s="95" t="s">
        <v>411</v>
      </c>
      <c r="M19" s="81"/>
      <c r="N19" s="82"/>
      <c r="O19" s="81"/>
      <c r="P19" s="81"/>
      <c r="Q19" s="83"/>
      <c r="R19" s="83"/>
      <c r="S19" s="83"/>
      <c r="V19" s="54"/>
    </row>
    <row r="20" spans="1:23" s="149" customFormat="1" ht="49.5" customHeight="1" x14ac:dyDescent="0.25">
      <c r="A20" s="95" t="s">
        <v>56</v>
      </c>
      <c r="B20" s="90" t="s">
        <v>412</v>
      </c>
      <c r="C20" s="439">
        <v>11000</v>
      </c>
      <c r="D20" s="440"/>
      <c r="E20" s="90" t="s">
        <v>413</v>
      </c>
      <c r="F20" s="430">
        <f>C20-G20</f>
        <v>11000</v>
      </c>
      <c r="G20" s="140">
        <f t="shared" si="1"/>
        <v>0</v>
      </c>
      <c r="H20" s="140">
        <v>0</v>
      </c>
      <c r="I20" s="140">
        <v>0</v>
      </c>
      <c r="J20" s="140">
        <v>0</v>
      </c>
      <c r="K20" s="140">
        <v>0</v>
      </c>
      <c r="L20" s="95" t="s">
        <v>383</v>
      </c>
      <c r="M20" s="147"/>
      <c r="N20" s="487" t="s">
        <v>1232</v>
      </c>
      <c r="O20" s="147"/>
      <c r="P20" s="147"/>
      <c r="Q20" s="148"/>
      <c r="R20" s="148"/>
      <c r="S20" s="148"/>
      <c r="V20" s="150"/>
      <c r="W20" s="150"/>
    </row>
    <row r="21" spans="1:23" s="149" customFormat="1" ht="36" x14ac:dyDescent="0.25">
      <c r="A21" s="95" t="s">
        <v>61</v>
      </c>
      <c r="B21" s="90" t="s">
        <v>414</v>
      </c>
      <c r="C21" s="439">
        <v>0</v>
      </c>
      <c r="D21" s="440" t="s">
        <v>381</v>
      </c>
      <c r="E21" s="90" t="s">
        <v>1256</v>
      </c>
      <c r="F21" s="430">
        <v>5500</v>
      </c>
      <c r="G21" s="140"/>
      <c r="H21" s="140"/>
      <c r="I21" s="140"/>
      <c r="J21" s="140"/>
      <c r="K21" s="140"/>
      <c r="L21" s="95" t="s">
        <v>344</v>
      </c>
      <c r="M21" s="147"/>
      <c r="N21" s="574" t="s">
        <v>1242</v>
      </c>
      <c r="O21" s="529" t="s">
        <v>1257</v>
      </c>
      <c r="P21" s="147"/>
      <c r="Q21" s="148"/>
      <c r="R21" s="148"/>
      <c r="S21" s="148"/>
      <c r="V21" s="150"/>
      <c r="W21" s="150"/>
    </row>
    <row r="22" spans="1:23" s="149" customFormat="1" ht="15" x14ac:dyDescent="0.25">
      <c r="A22" s="95" t="s">
        <v>68</v>
      </c>
      <c r="B22" s="90" t="s">
        <v>415</v>
      </c>
      <c r="C22" s="439">
        <v>1000</v>
      </c>
      <c r="D22" s="440" t="s">
        <v>381</v>
      </c>
      <c r="E22" s="90" t="s">
        <v>1272</v>
      </c>
      <c r="F22" s="430">
        <v>600</v>
      </c>
      <c r="G22" s="140"/>
      <c r="H22" s="140"/>
      <c r="I22" s="140"/>
      <c r="J22" s="140"/>
      <c r="K22" s="140"/>
      <c r="L22" s="95"/>
      <c r="M22" s="147"/>
      <c r="N22" s="476" t="s">
        <v>1225</v>
      </c>
      <c r="O22" s="147"/>
      <c r="P22" s="147"/>
      <c r="Q22" s="148"/>
      <c r="R22" s="148"/>
      <c r="S22" s="148"/>
      <c r="V22" s="150"/>
      <c r="W22" s="150"/>
    </row>
    <row r="23" spans="1:23" s="149" customFormat="1" ht="30" customHeight="1" x14ac:dyDescent="0.25">
      <c r="A23" s="95" t="s">
        <v>416</v>
      </c>
      <c r="B23" s="90" t="s">
        <v>417</v>
      </c>
      <c r="C23" s="439">
        <v>0</v>
      </c>
      <c r="D23" s="440"/>
      <c r="E23" s="90" t="s">
        <v>418</v>
      </c>
      <c r="F23" s="430">
        <v>0</v>
      </c>
      <c r="G23" s="140"/>
      <c r="H23" s="140"/>
      <c r="I23" s="140"/>
      <c r="J23" s="140"/>
      <c r="K23" s="140"/>
      <c r="L23" s="95"/>
      <c r="M23" s="147"/>
      <c r="N23" s="574" t="s">
        <v>1242</v>
      </c>
      <c r="O23" s="530" t="s">
        <v>1258</v>
      </c>
      <c r="P23" s="147"/>
      <c r="Q23" s="148"/>
      <c r="R23" s="148"/>
      <c r="S23" s="148"/>
      <c r="V23" s="150"/>
      <c r="W23" s="150"/>
    </row>
    <row r="24" spans="1:23" ht="26.25" customHeight="1" x14ac:dyDescent="0.2">
      <c r="A24" s="89" t="s">
        <v>419</v>
      </c>
      <c r="B24" s="90" t="s">
        <v>420</v>
      </c>
      <c r="C24" s="435">
        <v>500</v>
      </c>
      <c r="D24" s="436" t="s">
        <v>381</v>
      </c>
      <c r="E24" s="143" t="s">
        <v>421</v>
      </c>
      <c r="F24" s="430">
        <f>C24-G24</f>
        <v>500</v>
      </c>
      <c r="G24" s="140">
        <f>SUM(H24:K24)</f>
        <v>0</v>
      </c>
      <c r="H24" s="140">
        <v>0</v>
      </c>
      <c r="I24" s="140">
        <v>0</v>
      </c>
      <c r="J24" s="140">
        <v>0</v>
      </c>
      <c r="K24" s="140">
        <v>0</v>
      </c>
      <c r="L24" s="95">
        <f>$L$14</f>
        <v>0</v>
      </c>
      <c r="M24" s="81"/>
      <c r="N24" s="82"/>
      <c r="O24" s="81"/>
      <c r="P24" s="81"/>
      <c r="Q24" s="83"/>
      <c r="R24" s="83"/>
      <c r="S24" s="83"/>
      <c r="V24" s="54"/>
    </row>
    <row r="25" spans="1:23" ht="24" customHeight="1" x14ac:dyDescent="0.2">
      <c r="A25" s="151"/>
      <c r="B25" s="85" t="s">
        <v>422</v>
      </c>
      <c r="C25" s="441">
        <f>SUM(C5:C24)</f>
        <v>34670</v>
      </c>
      <c r="D25" s="442"/>
      <c r="E25" s="153"/>
      <c r="F25" s="430">
        <f>C25-G25</f>
        <v>34670</v>
      </c>
      <c r="G25" s="154">
        <f>SUM(G5:G24)</f>
        <v>0</v>
      </c>
      <c r="H25" s="140">
        <v>0</v>
      </c>
      <c r="I25" s="140">
        <v>0</v>
      </c>
      <c r="J25" s="140">
        <v>0</v>
      </c>
      <c r="K25" s="140">
        <v>0</v>
      </c>
      <c r="L25" s="95"/>
      <c r="M25" s="81"/>
      <c r="N25" s="82"/>
      <c r="O25" s="81"/>
      <c r="P25" s="81"/>
      <c r="Q25" s="83"/>
      <c r="R25" s="83"/>
      <c r="S25" s="83"/>
      <c r="V25" s="54"/>
    </row>
    <row r="26" spans="1:23" x14ac:dyDescent="0.2">
      <c r="A26" s="116"/>
      <c r="B26" s="117" t="s">
        <v>263</v>
      </c>
      <c r="C26" s="155"/>
      <c r="D26" s="155"/>
      <c r="E26" s="120"/>
      <c r="F26" s="120"/>
      <c r="G26" s="121"/>
      <c r="H26" s="122"/>
      <c r="I26" s="122"/>
      <c r="J26" s="122"/>
      <c r="K26" s="122"/>
      <c r="L26" s="156"/>
      <c r="M26" s="83"/>
      <c r="N26" s="115"/>
      <c r="O26" s="83"/>
      <c r="P26" s="83"/>
      <c r="Q26" s="83"/>
      <c r="R26" s="83"/>
      <c r="S26" s="83"/>
    </row>
    <row r="27" spans="1:23" ht="19.5" customHeight="1" x14ac:dyDescent="0.2"/>
  </sheetData>
  <mergeCells count="2">
    <mergeCell ref="A2:E2"/>
    <mergeCell ref="A4:L4"/>
  </mergeCells>
  <hyperlinks>
    <hyperlink ref="O14" r:id="rId1" display="https://vakofc.org/wp-content/uploads/2021/08/Fr.-Bader-Scholarship-1.pdf" xr:uid="{EB7CE256-30DF-4B93-B46E-56AACDA05638}"/>
  </hyperlinks>
  <pageMargins left="0.45" right="0.45" top="1.0610000000000002" bottom="1.1437000000000002" header="0.30000000000000004" footer="0.75000000000000011"/>
  <pageSetup fitToHeight="0" orientation="landscape" r:id="rId2"/>
  <headerFooter alignWithMargins="0">
    <oddHeader>&amp;C&amp;"Calibri,Regular"&amp;10Council 8600 Budget</oddHeader>
  </headerFooter>
  <colBreaks count="1" manualBreakCount="1">
    <brk id="1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2"/>
  <sheetViews>
    <sheetView topLeftCell="A2" zoomScaleNormal="100" workbookViewId="0">
      <selection activeCell="M16" sqref="M16"/>
    </sheetView>
  </sheetViews>
  <sheetFormatPr defaultRowHeight="12.75" customHeight="1" x14ac:dyDescent="0.2"/>
  <cols>
    <col min="1" max="1" width="5.75" customWidth="1"/>
    <col min="2" max="2" width="23.375" style="124" customWidth="1"/>
    <col min="3" max="3" width="9.75" style="526" customWidth="1"/>
    <col min="4" max="4" width="6.5" style="192" customWidth="1"/>
    <col min="5" max="5" width="34.625" style="124" customWidth="1"/>
    <col min="6" max="6" width="9.125" style="506" hidden="1" customWidth="1"/>
    <col min="7" max="7" width="9.25" style="192" hidden="1" customWidth="1"/>
    <col min="8" max="9" width="6.125" style="192" hidden="1" customWidth="1"/>
    <col min="10" max="10" width="5" style="192" hidden="1" customWidth="1"/>
    <col min="11" max="11" width="4.875" style="192" hidden="1" customWidth="1"/>
    <col min="12" max="12" width="11.25" style="126" customWidth="1"/>
    <col min="13" max="13" width="19.5" customWidth="1"/>
    <col min="14" max="14" width="15.75" style="124" customWidth="1"/>
    <col min="15" max="15" width="9.25" customWidth="1"/>
    <col min="16" max="16" width="7.625" customWidth="1"/>
    <col min="17" max="21" width="7.75" customWidth="1"/>
    <col min="22" max="22" width="10.75" customWidth="1"/>
    <col min="23" max="23" width="9.75" style="16" customWidth="1"/>
    <col min="24" max="1024" width="7.375" customWidth="1"/>
  </cols>
  <sheetData>
    <row r="1" spans="1:23" ht="24" hidden="1" x14ac:dyDescent="0.2">
      <c r="A1" s="116"/>
      <c r="B1" s="159" t="s">
        <v>249</v>
      </c>
      <c r="C1" s="520"/>
      <c r="D1" s="160"/>
      <c r="E1" s="161" t="e">
        <f>#REF!</f>
        <v>#REF!</v>
      </c>
      <c r="F1" s="159"/>
      <c r="G1" s="160"/>
      <c r="H1" s="160"/>
      <c r="I1" s="160"/>
      <c r="J1" s="160"/>
      <c r="K1" s="160"/>
      <c r="L1" s="162" t="s">
        <v>250</v>
      </c>
      <c r="M1" s="83"/>
      <c r="N1" s="115"/>
      <c r="O1" s="83"/>
      <c r="P1" s="83"/>
      <c r="Q1" s="83"/>
      <c r="R1" s="83"/>
      <c r="S1" s="83"/>
    </row>
    <row r="2" spans="1:23" ht="12.75" customHeight="1" x14ac:dyDescent="0.2">
      <c r="A2" s="635" t="str">
        <f>Income!A2</f>
        <v>2024-25 Council  8600 Budget, Grand Knight Joseph Minus</v>
      </c>
      <c r="B2" s="635"/>
      <c r="C2" s="635"/>
      <c r="D2" s="635"/>
      <c r="E2" s="635"/>
      <c r="F2" s="635"/>
      <c r="G2" s="635"/>
      <c r="H2" s="635"/>
      <c r="I2" s="635"/>
      <c r="J2" s="163"/>
      <c r="K2" s="163"/>
      <c r="L2" s="164"/>
      <c r="M2" s="83"/>
      <c r="O2" s="115">
        <f>484*36</f>
        <v>17424</v>
      </c>
      <c r="P2" s="83">
        <f>12*10</f>
        <v>120</v>
      </c>
      <c r="Q2" s="165">
        <v>0.85499999999999998</v>
      </c>
      <c r="R2" s="83"/>
      <c r="S2" s="83"/>
    </row>
    <row r="3" spans="1:23" ht="36" x14ac:dyDescent="0.2">
      <c r="A3" s="166" t="s">
        <v>369</v>
      </c>
      <c r="B3" s="166" t="s">
        <v>251</v>
      </c>
      <c r="C3" s="501" t="s">
        <v>370</v>
      </c>
      <c r="D3" s="167" t="s">
        <v>371</v>
      </c>
      <c r="E3" s="592" t="s">
        <v>1313</v>
      </c>
      <c r="F3" s="501"/>
      <c r="G3" s="167" t="s">
        <v>373</v>
      </c>
      <c r="H3" s="167" t="s">
        <v>374</v>
      </c>
      <c r="I3" s="167" t="s">
        <v>375</v>
      </c>
      <c r="J3" s="167" t="s">
        <v>376</v>
      </c>
      <c r="K3" s="167" t="s">
        <v>377</v>
      </c>
      <c r="L3" s="166" t="s">
        <v>262</v>
      </c>
      <c r="M3" s="83"/>
      <c r="O3" s="115">
        <f>(O2*Q2)</f>
        <v>14897.52</v>
      </c>
      <c r="P3" s="83">
        <f>(P2*Q2)</f>
        <v>102.6</v>
      </c>
      <c r="Q3" s="83">
        <f>O3+P3</f>
        <v>15000.12</v>
      </c>
      <c r="R3" s="83"/>
      <c r="S3" s="83"/>
    </row>
    <row r="4" spans="1:23" ht="20.25" customHeight="1" x14ac:dyDescent="0.2">
      <c r="A4" s="637" t="s">
        <v>423</v>
      </c>
      <c r="B4" s="637"/>
      <c r="C4" s="521"/>
      <c r="D4" s="169"/>
      <c r="E4" s="170" t="s">
        <v>1253</v>
      </c>
      <c r="F4" s="502"/>
      <c r="G4" s="169"/>
      <c r="H4" s="169"/>
      <c r="I4" s="169"/>
      <c r="J4" s="169"/>
      <c r="K4" s="169"/>
      <c r="L4" s="171"/>
      <c r="M4" s="83"/>
      <c r="N4" s="115"/>
      <c r="O4" s="83"/>
      <c r="P4" s="83"/>
      <c r="Q4" s="83"/>
      <c r="R4" s="83"/>
      <c r="S4" s="83"/>
    </row>
    <row r="5" spans="1:23" ht="24" x14ac:dyDescent="0.2">
      <c r="A5" s="172" t="s">
        <v>424</v>
      </c>
      <c r="B5" s="170" t="s">
        <v>425</v>
      </c>
      <c r="C5" s="511">
        <v>800</v>
      </c>
      <c r="D5" s="173"/>
      <c r="E5" s="170" t="s">
        <v>1234</v>
      </c>
      <c r="F5" s="502">
        <f t="shared" ref="F5:F13" si="0">C5-G5</f>
        <v>800</v>
      </c>
      <c r="G5" s="175">
        <v>0</v>
      </c>
      <c r="H5" s="176">
        <v>0</v>
      </c>
      <c r="I5" s="176">
        <v>0</v>
      </c>
      <c r="J5" s="176">
        <v>0</v>
      </c>
      <c r="K5" s="176">
        <v>0</v>
      </c>
      <c r="L5" s="123" t="s">
        <v>320</v>
      </c>
      <c r="M5" s="83"/>
      <c r="N5" s="115"/>
      <c r="O5" s="83"/>
      <c r="P5" s="83"/>
      <c r="Q5" s="83"/>
      <c r="R5" s="83"/>
      <c r="S5" s="83"/>
      <c r="V5" s="112"/>
    </row>
    <row r="6" spans="1:23" ht="14.25" x14ac:dyDescent="0.2">
      <c r="A6" s="172" t="s">
        <v>109</v>
      </c>
      <c r="B6" s="170" t="s">
        <v>426</v>
      </c>
      <c r="C6" s="511">
        <v>300</v>
      </c>
      <c r="D6" s="173"/>
      <c r="E6" s="570" t="s">
        <v>1287</v>
      </c>
      <c r="F6" s="502">
        <f t="shared" si="0"/>
        <v>300</v>
      </c>
      <c r="G6" s="175">
        <v>0</v>
      </c>
      <c r="H6" s="176">
        <v>0</v>
      </c>
      <c r="I6" s="176">
        <v>0</v>
      </c>
      <c r="J6" s="176">
        <v>0</v>
      </c>
      <c r="K6" s="176">
        <v>0</v>
      </c>
      <c r="L6" s="123" t="s">
        <v>328</v>
      </c>
      <c r="M6" s="83"/>
      <c r="N6" s="115"/>
      <c r="O6" s="83"/>
      <c r="P6" s="83"/>
      <c r="Q6" s="83"/>
      <c r="R6" s="83"/>
      <c r="S6" s="83"/>
      <c r="V6" s="112"/>
    </row>
    <row r="7" spans="1:23" ht="24" x14ac:dyDescent="0.2">
      <c r="A7" s="172" t="s">
        <v>427</v>
      </c>
      <c r="B7" s="170" t="s">
        <v>428</v>
      </c>
      <c r="C7" s="511">
        <v>2500</v>
      </c>
      <c r="D7" s="173"/>
      <c r="E7" s="170" t="s">
        <v>429</v>
      </c>
      <c r="F7" s="502">
        <f t="shared" si="0"/>
        <v>2500</v>
      </c>
      <c r="G7" s="175">
        <v>0</v>
      </c>
      <c r="H7" s="176">
        <v>0</v>
      </c>
      <c r="I7" s="176">
        <v>0</v>
      </c>
      <c r="J7" s="176">
        <v>0</v>
      </c>
      <c r="K7" s="176">
        <v>0</v>
      </c>
      <c r="L7" s="123" t="s">
        <v>430</v>
      </c>
      <c r="M7" s="83"/>
      <c r="N7" s="115"/>
      <c r="O7" s="83"/>
      <c r="P7" s="83"/>
      <c r="Q7" s="83"/>
      <c r="R7" s="83"/>
      <c r="S7" s="83"/>
      <c r="V7" s="112"/>
    </row>
    <row r="8" spans="1:23" ht="24" x14ac:dyDescent="0.2">
      <c r="A8" s="172" t="s">
        <v>16</v>
      </c>
      <c r="B8" s="170" t="s">
        <v>431</v>
      </c>
      <c r="C8" s="511">
        <v>3000</v>
      </c>
      <c r="D8" s="173"/>
      <c r="E8" s="170" t="s">
        <v>432</v>
      </c>
      <c r="F8" s="502">
        <f t="shared" si="0"/>
        <v>3000</v>
      </c>
      <c r="G8" s="175">
        <v>0</v>
      </c>
      <c r="H8" s="176">
        <v>0</v>
      </c>
      <c r="I8" s="176">
        <v>0</v>
      </c>
      <c r="J8" s="176">
        <v>0</v>
      </c>
      <c r="K8" s="176">
        <v>0</v>
      </c>
      <c r="L8" s="123" t="s">
        <v>433</v>
      </c>
      <c r="M8" s="83"/>
      <c r="N8" s="115"/>
      <c r="O8" s="83"/>
      <c r="P8" s="83"/>
      <c r="Q8" s="83"/>
      <c r="R8" s="83"/>
      <c r="S8" s="83"/>
      <c r="V8" s="112"/>
    </row>
    <row r="9" spans="1:23" ht="14.25" x14ac:dyDescent="0.2">
      <c r="A9" s="172" t="s">
        <v>107</v>
      </c>
      <c r="B9" s="170" t="s">
        <v>434</v>
      </c>
      <c r="C9" s="511">
        <v>500</v>
      </c>
      <c r="D9" s="173"/>
      <c r="E9" s="170" t="s">
        <v>435</v>
      </c>
      <c r="F9" s="502">
        <f t="shared" si="0"/>
        <v>500</v>
      </c>
      <c r="G9" s="175">
        <v>0</v>
      </c>
      <c r="H9" s="176">
        <v>0</v>
      </c>
      <c r="I9" s="176">
        <v>0</v>
      </c>
      <c r="J9" s="176">
        <v>0</v>
      </c>
      <c r="K9" s="176">
        <v>0</v>
      </c>
      <c r="L9" s="123" t="s">
        <v>436</v>
      </c>
      <c r="M9" s="480"/>
      <c r="N9" s="115"/>
      <c r="O9" s="83"/>
      <c r="P9" s="83"/>
      <c r="Q9" s="83"/>
      <c r="R9" s="83"/>
      <c r="S9" s="83"/>
      <c r="V9" s="112"/>
      <c r="W9" s="112"/>
    </row>
    <row r="10" spans="1:23" ht="36" x14ac:dyDescent="0.2">
      <c r="A10" s="172" t="s">
        <v>63</v>
      </c>
      <c r="B10" s="170" t="s">
        <v>437</v>
      </c>
      <c r="C10" s="511">
        <v>2000</v>
      </c>
      <c r="D10" s="173" t="s">
        <v>381</v>
      </c>
      <c r="E10" s="170" t="s">
        <v>438</v>
      </c>
      <c r="F10" s="502">
        <f t="shared" si="0"/>
        <v>2000</v>
      </c>
      <c r="G10" s="175">
        <v>0</v>
      </c>
      <c r="H10" s="176">
        <v>0</v>
      </c>
      <c r="I10" s="176">
        <v>0</v>
      </c>
      <c r="J10" s="176">
        <v>0</v>
      </c>
      <c r="K10" s="176">
        <v>0</v>
      </c>
      <c r="L10" s="123" t="s">
        <v>320</v>
      </c>
      <c r="M10" s="612" t="s">
        <v>1237</v>
      </c>
      <c r="N10" s="413" t="s">
        <v>1349</v>
      </c>
      <c r="O10" s="83"/>
      <c r="P10" s="83"/>
      <c r="Q10" s="83"/>
      <c r="R10" s="83"/>
      <c r="S10" s="83"/>
      <c r="V10" s="112"/>
      <c r="W10" s="112"/>
    </row>
    <row r="11" spans="1:23" ht="14.25" x14ac:dyDescent="0.2">
      <c r="A11" s="172" t="s">
        <v>117</v>
      </c>
      <c r="B11" s="177" t="s">
        <v>439</v>
      </c>
      <c r="C11" s="511">
        <v>200</v>
      </c>
      <c r="D11" s="173" t="s">
        <v>381</v>
      </c>
      <c r="E11" s="170" t="s">
        <v>440</v>
      </c>
      <c r="F11" s="502">
        <f t="shared" si="0"/>
        <v>200</v>
      </c>
      <c r="G11" s="175">
        <v>0</v>
      </c>
      <c r="H11" s="176">
        <v>0</v>
      </c>
      <c r="I11" s="176">
        <v>0</v>
      </c>
      <c r="J11" s="176">
        <v>0</v>
      </c>
      <c r="K11" s="176">
        <v>0</v>
      </c>
      <c r="L11" s="123"/>
      <c r="M11" s="293"/>
      <c r="N11" s="115"/>
      <c r="O11" s="83"/>
      <c r="P11" s="83"/>
      <c r="Q11" s="83"/>
      <c r="R11" s="83"/>
      <c r="S11" s="83"/>
      <c r="V11" s="112"/>
      <c r="W11" s="112"/>
    </row>
    <row r="12" spans="1:23" ht="24" x14ac:dyDescent="0.2">
      <c r="A12" s="172" t="s">
        <v>441</v>
      </c>
      <c r="B12" s="170" t="s">
        <v>104</v>
      </c>
      <c r="C12" s="511">
        <v>75</v>
      </c>
      <c r="D12" s="173"/>
      <c r="E12" s="170" t="s">
        <v>1238</v>
      </c>
      <c r="F12" s="502">
        <f t="shared" si="0"/>
        <v>75</v>
      </c>
      <c r="G12" s="175">
        <v>0</v>
      </c>
      <c r="H12" s="176">
        <v>0</v>
      </c>
      <c r="I12" s="176">
        <v>0</v>
      </c>
      <c r="J12" s="176">
        <v>0</v>
      </c>
      <c r="K12" s="176">
        <v>0</v>
      </c>
      <c r="L12" s="171" t="s">
        <v>289</v>
      </c>
      <c r="M12" s="542" t="s">
        <v>1239</v>
      </c>
      <c r="N12" s="115"/>
      <c r="O12" s="83"/>
      <c r="P12" s="83"/>
      <c r="Q12" s="83"/>
      <c r="R12" s="83"/>
      <c r="S12" s="83"/>
      <c r="V12" s="112"/>
      <c r="W12" s="112"/>
    </row>
    <row r="13" spans="1:23" ht="48" x14ac:dyDescent="0.2">
      <c r="A13" s="172" t="s">
        <v>442</v>
      </c>
      <c r="B13" s="601" t="s">
        <v>443</v>
      </c>
      <c r="C13" s="602">
        <v>1000</v>
      </c>
      <c r="D13" s="603"/>
      <c r="E13" s="604" t="s">
        <v>1324</v>
      </c>
      <c r="F13" s="605">
        <f t="shared" si="0"/>
        <v>1000</v>
      </c>
      <c r="G13" s="606">
        <v>0</v>
      </c>
      <c r="H13" s="607">
        <v>0</v>
      </c>
      <c r="I13" s="607">
        <v>0</v>
      </c>
      <c r="J13" s="607">
        <v>0</v>
      </c>
      <c r="K13" s="607">
        <v>0</v>
      </c>
      <c r="L13" s="608" t="s">
        <v>444</v>
      </c>
      <c r="M13" s="578" t="s">
        <v>1237</v>
      </c>
      <c r="N13" s="542" t="s">
        <v>1361</v>
      </c>
      <c r="O13" s="83"/>
      <c r="P13" s="83"/>
      <c r="Q13" s="83"/>
      <c r="R13" s="83"/>
      <c r="S13" s="83"/>
      <c r="V13" s="112"/>
      <c r="W13" s="112"/>
    </row>
    <row r="14" spans="1:23" ht="24" x14ac:dyDescent="0.2">
      <c r="A14" s="172" t="s">
        <v>445</v>
      </c>
      <c r="B14" s="177" t="s">
        <v>446</v>
      </c>
      <c r="C14" s="511">
        <v>1200</v>
      </c>
      <c r="D14" s="173"/>
      <c r="E14" s="170" t="s">
        <v>1261</v>
      </c>
      <c r="F14" s="502">
        <v>1200</v>
      </c>
      <c r="G14" s="175"/>
      <c r="H14" s="176"/>
      <c r="I14" s="176"/>
      <c r="J14" s="176"/>
      <c r="K14" s="176"/>
      <c r="L14" s="123" t="s">
        <v>289</v>
      </c>
      <c r="M14" s="507" t="s">
        <v>307</v>
      </c>
      <c r="N14" s="114" t="s">
        <v>1275</v>
      </c>
      <c r="O14" s="83"/>
      <c r="P14" s="83"/>
      <c r="Q14" s="83"/>
      <c r="R14" s="83"/>
      <c r="S14" s="83"/>
      <c r="V14" s="112"/>
      <c r="W14" s="112"/>
    </row>
    <row r="15" spans="1:23" ht="14.25" x14ac:dyDescent="0.2">
      <c r="A15" s="172" t="s">
        <v>447</v>
      </c>
      <c r="B15" s="170" t="s">
        <v>420</v>
      </c>
      <c r="C15" s="511">
        <v>500</v>
      </c>
      <c r="D15" s="173" t="s">
        <v>381</v>
      </c>
      <c r="E15" s="178" t="s">
        <v>448</v>
      </c>
      <c r="F15" s="502">
        <f>C15-G15</f>
        <v>500</v>
      </c>
      <c r="G15" s="175">
        <v>0</v>
      </c>
      <c r="H15" s="176">
        <v>0</v>
      </c>
      <c r="I15" s="176">
        <v>0</v>
      </c>
      <c r="J15" s="176">
        <v>0</v>
      </c>
      <c r="K15" s="176">
        <v>0</v>
      </c>
      <c r="L15" s="123"/>
      <c r="M15" s="83"/>
      <c r="N15" s="115"/>
      <c r="O15" s="83"/>
      <c r="P15" s="83"/>
      <c r="Q15" s="83"/>
      <c r="R15" s="83"/>
      <c r="S15" s="83"/>
      <c r="V15" s="112"/>
      <c r="W15" s="112"/>
    </row>
    <row r="16" spans="1:23" ht="21.75" customHeight="1" x14ac:dyDescent="0.2">
      <c r="A16" s="172" t="s">
        <v>103</v>
      </c>
      <c r="B16" s="170" t="s">
        <v>1203</v>
      </c>
      <c r="C16" s="511">
        <v>300</v>
      </c>
      <c r="D16" s="173"/>
      <c r="E16" s="178" t="s">
        <v>1362</v>
      </c>
      <c r="F16" s="502"/>
      <c r="G16" s="175"/>
      <c r="H16" s="176"/>
      <c r="I16" s="176"/>
      <c r="J16" s="176"/>
      <c r="K16" s="176"/>
      <c r="L16" s="123" t="s">
        <v>1204</v>
      </c>
      <c r="M16" s="83"/>
      <c r="N16" s="115"/>
      <c r="O16" s="83"/>
      <c r="P16" s="83"/>
      <c r="Q16" s="83"/>
      <c r="R16" s="83"/>
      <c r="S16" s="83"/>
      <c r="V16" s="112"/>
      <c r="W16" s="112"/>
    </row>
    <row r="17" spans="1:23" ht="14.25" x14ac:dyDescent="0.2">
      <c r="A17" s="172"/>
      <c r="B17" s="179" t="s">
        <v>449</v>
      </c>
      <c r="C17" s="522">
        <f>SUM(C5:C16)</f>
        <v>12375</v>
      </c>
      <c r="D17" s="152"/>
      <c r="E17" s="180"/>
      <c r="F17" s="503">
        <f t="shared" ref="F17:K17" si="1">SUM(F5:F15)</f>
        <v>12075</v>
      </c>
      <c r="G17" s="181">
        <f t="shared" si="1"/>
        <v>0</v>
      </c>
      <c r="H17" s="181">
        <f t="shared" si="1"/>
        <v>0</v>
      </c>
      <c r="I17" s="181">
        <f t="shared" si="1"/>
        <v>0</v>
      </c>
      <c r="J17" s="181">
        <f t="shared" si="1"/>
        <v>0</v>
      </c>
      <c r="K17" s="181">
        <f t="shared" si="1"/>
        <v>0</v>
      </c>
      <c r="L17" s="123"/>
      <c r="M17" s="83"/>
      <c r="N17" s="115"/>
      <c r="O17" s="83"/>
      <c r="P17" s="83"/>
      <c r="Q17" s="83"/>
      <c r="R17" s="83"/>
      <c r="S17" s="83"/>
      <c r="V17" s="112"/>
      <c r="W17" s="112"/>
    </row>
    <row r="18" spans="1:23" s="16" customFormat="1" hidden="1" x14ac:dyDescent="0.2">
      <c r="A18" s="182" t="s">
        <v>347</v>
      </c>
      <c r="B18" s="183" t="s">
        <v>348</v>
      </c>
      <c r="C18" s="523"/>
      <c r="D18" s="184"/>
      <c r="E18" s="185"/>
      <c r="F18" s="504"/>
      <c r="G18" s="184"/>
      <c r="H18" s="184"/>
      <c r="I18" s="184"/>
      <c r="J18" s="184"/>
      <c r="K18" s="184"/>
      <c r="L18" s="186"/>
      <c r="M18" s="111"/>
      <c r="N18" s="187"/>
      <c r="O18" s="111"/>
      <c r="P18" s="111"/>
      <c r="Q18" s="111"/>
      <c r="R18" s="111"/>
      <c r="S18" s="111"/>
      <c r="V18" s="112"/>
    </row>
    <row r="19" spans="1:23" s="16" customFormat="1" hidden="1" x14ac:dyDescent="0.2">
      <c r="A19" s="182" t="s">
        <v>60</v>
      </c>
      <c r="B19" s="183" t="s">
        <v>350</v>
      </c>
      <c r="C19" s="524"/>
      <c r="D19" s="188"/>
      <c r="E19" s="185" t="s">
        <v>352</v>
      </c>
      <c r="F19" s="504"/>
      <c r="G19" s="188"/>
      <c r="H19" s="188"/>
      <c r="I19" s="188"/>
      <c r="J19" s="188"/>
      <c r="K19" s="188"/>
      <c r="L19" s="76"/>
      <c r="M19" s="111"/>
      <c r="N19" s="187"/>
      <c r="O19" s="111"/>
      <c r="P19" s="111"/>
      <c r="Q19" s="111"/>
      <c r="R19" s="111"/>
      <c r="S19" s="111"/>
      <c r="V19" s="112"/>
    </row>
    <row r="20" spans="1:23" ht="14.25" x14ac:dyDescent="0.2">
      <c r="A20" s="83"/>
      <c r="B20" s="189"/>
      <c r="C20" s="525"/>
      <c r="D20" s="190"/>
      <c r="E20" s="191"/>
      <c r="F20" s="505"/>
      <c r="G20" s="190"/>
      <c r="H20" s="190"/>
      <c r="I20" s="190"/>
      <c r="J20" s="190"/>
      <c r="K20" s="190"/>
      <c r="L20" s="114"/>
      <c r="M20" s="83"/>
      <c r="N20" s="115"/>
      <c r="O20" s="83"/>
      <c r="P20" s="83"/>
      <c r="Q20" s="83"/>
      <c r="R20" s="83"/>
      <c r="S20" s="83"/>
    </row>
    <row r="21" spans="1:23" ht="14.25" x14ac:dyDescent="0.2">
      <c r="A21" s="83"/>
      <c r="B21" s="189" t="s">
        <v>263</v>
      </c>
      <c r="C21" s="525"/>
      <c r="D21" s="190"/>
      <c r="E21" s="191"/>
      <c r="F21" s="505"/>
      <c r="G21" s="190"/>
      <c r="H21" s="190"/>
      <c r="I21" s="190"/>
      <c r="J21" s="190"/>
      <c r="K21" s="190"/>
      <c r="L21" s="114"/>
      <c r="M21" s="83"/>
      <c r="N21" s="115"/>
      <c r="O21" s="83"/>
      <c r="P21" s="83"/>
      <c r="Q21" s="83"/>
      <c r="R21" s="83"/>
      <c r="S21" s="83"/>
    </row>
    <row r="22" spans="1:23" ht="27.75" customHeight="1" x14ac:dyDescent="0.2">
      <c r="A22" s="116" t="s">
        <v>117</v>
      </c>
      <c r="B22" s="638" t="s">
        <v>450</v>
      </c>
      <c r="C22" s="638"/>
      <c r="D22" s="638"/>
      <c r="E22" s="638"/>
      <c r="F22" s="638"/>
      <c r="G22" s="638"/>
      <c r="H22" s="638"/>
      <c r="I22" s="638"/>
      <c r="J22" s="638"/>
      <c r="K22" s="638"/>
      <c r="L22" s="638"/>
      <c r="M22" s="83"/>
      <c r="N22" s="115"/>
      <c r="O22" s="83"/>
      <c r="P22" s="83"/>
      <c r="Q22" s="83"/>
      <c r="R22" s="83"/>
      <c r="S22" s="83"/>
    </row>
  </sheetData>
  <mergeCells count="3">
    <mergeCell ref="A2:I2"/>
    <mergeCell ref="A4:B4"/>
    <mergeCell ref="B22:L22"/>
  </mergeCells>
  <pageMargins left="0.45" right="0.45" top="1.0610000000000002" bottom="1.1437000000000002" header="0.30000000000000004" footer="0.75000000000000011"/>
  <pageSetup fitToHeight="0" orientation="landscape" r:id="rId1"/>
  <headerFooter alignWithMargins="0">
    <oddHeader>&amp;C&amp;"Calibri,Regular"&amp;10Council 8600 Budget</oddHeader>
  </headerFooter>
  <colBreaks count="1" manualBreakCount="1">
    <brk id="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16"/>
  <sheetViews>
    <sheetView topLeftCell="A2" zoomScaleNormal="100" workbookViewId="0">
      <selection activeCell="B17" sqref="B17"/>
    </sheetView>
  </sheetViews>
  <sheetFormatPr defaultRowHeight="14.25" x14ac:dyDescent="0.2"/>
  <cols>
    <col min="1" max="1" width="5.375" style="149" customWidth="1"/>
    <col min="2" max="2" width="22.125" style="215" customWidth="1"/>
    <col min="3" max="3" width="16.75" style="216" customWidth="1"/>
    <col min="4" max="4" width="7" style="216" customWidth="1"/>
    <col min="5" max="5" width="33.75" style="215" customWidth="1"/>
    <col min="6" max="6" width="9.125" style="514" hidden="1" customWidth="1"/>
    <col min="7" max="7" width="8.875" style="215" hidden="1" customWidth="1"/>
    <col min="8" max="8" width="6.75" style="149" hidden="1" customWidth="1"/>
    <col min="9" max="9" width="6.625" style="215" hidden="1" customWidth="1"/>
    <col min="10" max="10" width="7.375" style="149" hidden="1" customWidth="1"/>
    <col min="11" max="11" width="6.75" style="149" hidden="1" customWidth="1"/>
    <col min="12" max="12" width="9.375" style="149" customWidth="1"/>
    <col min="13" max="13" width="19.375" style="149" customWidth="1"/>
    <col min="14" max="14" width="17.875" style="149" customWidth="1"/>
    <col min="15" max="15" width="7.75" style="149" customWidth="1"/>
    <col min="16" max="16" width="10.75" style="149" customWidth="1"/>
    <col min="17" max="17" width="9.75" style="194" customWidth="1"/>
    <col min="18" max="1024" width="7.75" style="149" customWidth="1"/>
  </cols>
  <sheetData>
    <row r="1" spans="1:23" ht="16.5" x14ac:dyDescent="0.3">
      <c r="A1" s="639" t="str">
        <f>Income!A2</f>
        <v>2024-25 Council  8600 Budget, Grand Knight Joseph Minus</v>
      </c>
      <c r="B1" s="639"/>
      <c r="C1" s="639"/>
      <c r="D1" s="639"/>
      <c r="E1" s="639"/>
      <c r="F1" s="639"/>
      <c r="G1" s="639"/>
      <c r="H1" s="639"/>
      <c r="I1" s="639"/>
      <c r="J1" s="639"/>
      <c r="K1" s="639"/>
      <c r="L1" s="193"/>
    </row>
    <row r="2" spans="1:23" s="199" customFormat="1" ht="29.25" customHeight="1" x14ac:dyDescent="0.25">
      <c r="A2" s="166" t="s">
        <v>369</v>
      </c>
      <c r="B2" s="166" t="s">
        <v>251</v>
      </c>
      <c r="C2" s="167" t="s">
        <v>370</v>
      </c>
      <c r="D2" s="508" t="s">
        <v>371</v>
      </c>
      <c r="E2" s="195" t="s">
        <v>1311</v>
      </c>
      <c r="F2" s="509"/>
      <c r="G2" s="195" t="s">
        <v>373</v>
      </c>
      <c r="H2" s="195" t="s">
        <v>374</v>
      </c>
      <c r="I2" s="195" t="s">
        <v>375</v>
      </c>
      <c r="J2" s="195" t="s">
        <v>376</v>
      </c>
      <c r="K2" s="195" t="s">
        <v>377</v>
      </c>
      <c r="L2" s="166" t="s">
        <v>262</v>
      </c>
      <c r="M2" s="196"/>
      <c r="N2" s="197"/>
      <c r="O2" s="196"/>
      <c r="P2" s="196"/>
      <c r="Q2" s="198"/>
      <c r="R2" s="196"/>
      <c r="S2" s="196"/>
      <c r="W2" s="200"/>
    </row>
    <row r="3" spans="1:23" ht="24" customHeight="1" x14ac:dyDescent="0.25">
      <c r="A3" s="640" t="s">
        <v>451</v>
      </c>
      <c r="B3" s="640"/>
      <c r="C3" s="169"/>
      <c r="D3" s="169"/>
      <c r="E3" s="170"/>
      <c r="F3" s="510"/>
      <c r="G3" s="201"/>
      <c r="H3" s="202"/>
      <c r="I3" s="202"/>
      <c r="J3" s="202"/>
      <c r="K3" s="202"/>
      <c r="L3" s="162"/>
      <c r="M3" s="148"/>
      <c r="N3" s="203"/>
      <c r="O3" s="148"/>
      <c r="P3" s="148"/>
      <c r="Q3" s="204"/>
      <c r="R3" s="148"/>
      <c r="S3" s="148"/>
      <c r="V3" s="150"/>
      <c r="W3" s="150"/>
    </row>
    <row r="4" spans="1:23" ht="96" x14ac:dyDescent="0.25">
      <c r="A4" s="172" t="s">
        <v>452</v>
      </c>
      <c r="B4" s="170" t="s">
        <v>453</v>
      </c>
      <c r="C4" s="610">
        <v>3000</v>
      </c>
      <c r="D4" s="173" t="s">
        <v>381</v>
      </c>
      <c r="E4" s="170" t="s">
        <v>1327</v>
      </c>
      <c r="F4" s="511">
        <f>C4-G4</f>
        <v>3000</v>
      </c>
      <c r="G4" s="175">
        <f>SUM(H4:K4)</f>
        <v>0</v>
      </c>
      <c r="H4" s="176">
        <v>0</v>
      </c>
      <c r="I4" s="176">
        <v>0</v>
      </c>
      <c r="J4" s="176">
        <v>0</v>
      </c>
      <c r="K4" s="176">
        <v>0</v>
      </c>
      <c r="L4" s="123" t="s">
        <v>454</v>
      </c>
      <c r="M4" s="619" t="s">
        <v>1353</v>
      </c>
      <c r="N4" s="203"/>
      <c r="O4" s="148"/>
      <c r="P4" s="148"/>
      <c r="Q4" s="204"/>
      <c r="R4" s="148"/>
      <c r="S4" s="148"/>
      <c r="V4" s="150"/>
      <c r="W4" s="150"/>
    </row>
    <row r="5" spans="1:23" ht="36.75" customHeight="1" x14ac:dyDescent="0.25">
      <c r="A5" s="172" t="s">
        <v>455</v>
      </c>
      <c r="B5" s="170" t="s">
        <v>456</v>
      </c>
      <c r="C5" s="431">
        <v>200</v>
      </c>
      <c r="D5" s="173" t="s">
        <v>381</v>
      </c>
      <c r="E5" s="170" t="s">
        <v>457</v>
      </c>
      <c r="F5" s="511">
        <f>C5-G5</f>
        <v>200</v>
      </c>
      <c r="G5" s="175">
        <v>0</v>
      </c>
      <c r="H5" s="176">
        <v>0</v>
      </c>
      <c r="I5" s="176">
        <v>0</v>
      </c>
      <c r="J5" s="176">
        <v>0</v>
      </c>
      <c r="K5" s="176">
        <v>0</v>
      </c>
      <c r="L5" s="123" t="s">
        <v>458</v>
      </c>
      <c r="M5" s="148"/>
      <c r="N5" s="203"/>
      <c r="O5" s="148"/>
      <c r="P5" s="148"/>
      <c r="Q5" s="204"/>
      <c r="R5" s="148"/>
      <c r="S5" s="148"/>
      <c r="W5" s="194"/>
    </row>
    <row r="6" spans="1:23" ht="30" customHeight="1" x14ac:dyDescent="0.25">
      <c r="A6" s="172" t="s">
        <v>459</v>
      </c>
      <c r="B6" s="170" t="s">
        <v>460</v>
      </c>
      <c r="C6" s="610">
        <v>5500</v>
      </c>
      <c r="D6" s="173" t="s">
        <v>381</v>
      </c>
      <c r="E6" s="170" t="s">
        <v>1326</v>
      </c>
      <c r="F6" s="511">
        <f>C6-G6</f>
        <v>5500</v>
      </c>
      <c r="G6" s="175">
        <v>0</v>
      </c>
      <c r="H6" s="176">
        <v>0</v>
      </c>
      <c r="I6" s="176">
        <v>0</v>
      </c>
      <c r="J6" s="176">
        <v>0</v>
      </c>
      <c r="K6" s="176">
        <v>0</v>
      </c>
      <c r="L6" s="515" t="s">
        <v>1254</v>
      </c>
      <c r="M6" s="517"/>
      <c r="N6" s="203">
        <f>2500+1500+1500</f>
        <v>5500</v>
      </c>
      <c r="O6" s="148"/>
      <c r="P6" s="148"/>
      <c r="Q6" s="204"/>
      <c r="R6" s="148"/>
      <c r="S6" s="148"/>
      <c r="V6" s="150"/>
      <c r="W6" s="150"/>
    </row>
    <row r="7" spans="1:23" ht="30" customHeight="1" x14ac:dyDescent="0.25">
      <c r="A7" s="172" t="s">
        <v>124</v>
      </c>
      <c r="B7" s="170" t="s">
        <v>461</v>
      </c>
      <c r="C7" s="610">
        <v>900</v>
      </c>
      <c r="D7" s="173" t="s">
        <v>381</v>
      </c>
      <c r="E7" s="170" t="s">
        <v>1328</v>
      </c>
      <c r="F7" s="511">
        <v>750</v>
      </c>
      <c r="G7" s="175"/>
      <c r="H7" s="176"/>
      <c r="I7" s="176"/>
      <c r="J7" s="176"/>
      <c r="K7" s="176"/>
      <c r="L7" s="515" t="s">
        <v>1254</v>
      </c>
      <c r="M7" s="517"/>
      <c r="N7" s="203"/>
      <c r="O7" s="148"/>
      <c r="P7" s="148"/>
      <c r="Q7" s="204"/>
      <c r="R7" s="148"/>
      <c r="S7" s="148"/>
      <c r="V7" s="150"/>
      <c r="W7" s="150"/>
    </row>
    <row r="8" spans="1:23" ht="24" x14ac:dyDescent="0.25">
      <c r="A8" s="172" t="s">
        <v>462</v>
      </c>
      <c r="B8" s="170" t="s">
        <v>463</v>
      </c>
      <c r="C8" s="431">
        <v>1250</v>
      </c>
      <c r="D8" s="173" t="s">
        <v>381</v>
      </c>
      <c r="E8" s="170" t="s">
        <v>464</v>
      </c>
      <c r="F8" s="511">
        <f>C8-G8</f>
        <v>1250</v>
      </c>
      <c r="G8" s="175">
        <v>0</v>
      </c>
      <c r="H8" s="176">
        <v>0</v>
      </c>
      <c r="I8" s="176">
        <v>0</v>
      </c>
      <c r="J8" s="176">
        <v>0</v>
      </c>
      <c r="K8" s="176">
        <v>0</v>
      </c>
      <c r="L8" s="515" t="s">
        <v>458</v>
      </c>
      <c r="M8" s="516"/>
      <c r="N8" s="203"/>
      <c r="O8" s="148"/>
      <c r="P8" s="148"/>
      <c r="Q8" s="204"/>
      <c r="R8" s="148"/>
      <c r="S8" s="148"/>
      <c r="V8" s="150"/>
      <c r="W8" s="150"/>
    </row>
    <row r="9" spans="1:23" ht="24" x14ac:dyDescent="0.25">
      <c r="A9" s="172" t="s">
        <v>465</v>
      </c>
      <c r="B9" s="170" t="s">
        <v>466</v>
      </c>
      <c r="C9" s="532">
        <v>0</v>
      </c>
      <c r="D9" s="173" t="s">
        <v>381</v>
      </c>
      <c r="E9" s="170" t="s">
        <v>1196</v>
      </c>
      <c r="F9" s="511">
        <f>C9-G9</f>
        <v>0</v>
      </c>
      <c r="G9" s="175">
        <v>0</v>
      </c>
      <c r="H9" s="176">
        <v>0</v>
      </c>
      <c r="I9" s="176">
        <v>0</v>
      </c>
      <c r="J9" s="176">
        <v>0</v>
      </c>
      <c r="K9" s="176">
        <v>0</v>
      </c>
      <c r="L9" s="515" t="s">
        <v>458</v>
      </c>
      <c r="M9" s="519" t="s">
        <v>1271</v>
      </c>
      <c r="N9" s="203"/>
      <c r="O9" s="148"/>
      <c r="P9" s="148"/>
      <c r="Q9" s="204"/>
      <c r="R9" s="148"/>
      <c r="S9" s="148"/>
      <c r="V9" s="150"/>
      <c r="W9" s="150"/>
    </row>
    <row r="10" spans="1:23" ht="51.75" customHeight="1" x14ac:dyDescent="0.25">
      <c r="A10" s="172" t="s">
        <v>131</v>
      </c>
      <c r="B10" s="177" t="s">
        <v>467</v>
      </c>
      <c r="C10" s="431">
        <v>1000</v>
      </c>
      <c r="D10" s="173" t="s">
        <v>381</v>
      </c>
      <c r="E10" s="170" t="s">
        <v>1333</v>
      </c>
      <c r="F10" s="511">
        <f>C10-G10</f>
        <v>1000</v>
      </c>
      <c r="G10" s="175">
        <v>0</v>
      </c>
      <c r="H10" s="176">
        <v>0</v>
      </c>
      <c r="I10" s="176">
        <v>0</v>
      </c>
      <c r="J10" s="176">
        <v>0</v>
      </c>
      <c r="K10" s="176">
        <v>0</v>
      </c>
      <c r="L10" s="515" t="s">
        <v>1254</v>
      </c>
      <c r="M10" s="577"/>
      <c r="N10" s="609" t="s">
        <v>1325</v>
      </c>
      <c r="O10" s="148"/>
      <c r="P10" s="148"/>
      <c r="Q10" s="204"/>
      <c r="R10" s="148"/>
      <c r="S10" s="148"/>
      <c r="V10" s="150"/>
      <c r="W10" s="150"/>
    </row>
    <row r="11" spans="1:23" ht="51.75" customHeight="1" x14ac:dyDescent="0.25">
      <c r="A11" s="172" t="s">
        <v>468</v>
      </c>
      <c r="B11" s="177" t="s">
        <v>469</v>
      </c>
      <c r="C11" s="532">
        <v>0</v>
      </c>
      <c r="D11" s="173" t="s">
        <v>381</v>
      </c>
      <c r="E11" s="170" t="s">
        <v>1197</v>
      </c>
      <c r="F11" s="511">
        <v>500</v>
      </c>
      <c r="G11" s="175"/>
      <c r="H11" s="176"/>
      <c r="I11" s="176"/>
      <c r="J11" s="176"/>
      <c r="K11" s="176"/>
      <c r="L11" s="515" t="s">
        <v>470</v>
      </c>
      <c r="M11" s="519" t="s">
        <v>1271</v>
      </c>
      <c r="N11" s="203"/>
      <c r="O11" s="148"/>
      <c r="P11" s="148"/>
      <c r="Q11" s="204"/>
      <c r="R11" s="148"/>
      <c r="S11" s="148"/>
      <c r="V11" s="150"/>
      <c r="W11" s="150"/>
    </row>
    <row r="12" spans="1:23" ht="15" x14ac:dyDescent="0.25">
      <c r="A12" s="172" t="s">
        <v>133</v>
      </c>
      <c r="B12" s="170" t="s">
        <v>420</v>
      </c>
      <c r="C12" s="431">
        <v>500</v>
      </c>
      <c r="D12" s="173" t="s">
        <v>381</v>
      </c>
      <c r="E12" s="170" t="s">
        <v>471</v>
      </c>
      <c r="F12" s="511">
        <f>C12-G12</f>
        <v>500</v>
      </c>
      <c r="G12" s="175">
        <v>0</v>
      </c>
      <c r="H12" s="176">
        <v>0</v>
      </c>
      <c r="I12" s="176">
        <v>0</v>
      </c>
      <c r="J12" s="176">
        <v>0</v>
      </c>
      <c r="K12" s="176">
        <v>0</v>
      </c>
      <c r="L12" s="123" t="s">
        <v>472</v>
      </c>
      <c r="M12" s="148"/>
      <c r="P12" s="150"/>
      <c r="Q12" s="150"/>
    </row>
    <row r="13" spans="1:23" s="194" customFormat="1" ht="13.5" x14ac:dyDescent="0.25">
      <c r="A13" s="205"/>
      <c r="B13" s="161" t="s">
        <v>473</v>
      </c>
      <c r="C13" s="432">
        <f>SUM(C4:C12)</f>
        <v>12350</v>
      </c>
      <c r="D13" s="206"/>
      <c r="E13" s="207"/>
      <c r="F13" s="512">
        <f>C13-G13</f>
        <v>12350</v>
      </c>
      <c r="G13" s="175">
        <f>SUM(H13:K13)</f>
        <v>0</v>
      </c>
      <c r="H13" s="208">
        <f>SUM(H4:H12)</f>
        <v>0</v>
      </c>
      <c r="I13" s="208">
        <f>SUM(I4:I12)</f>
        <v>0</v>
      </c>
      <c r="J13" s="208">
        <f>SUM(J4:J12)</f>
        <v>0</v>
      </c>
      <c r="K13" s="208">
        <f>SUM(K4:K12)</f>
        <v>0</v>
      </c>
      <c r="L13" s="209"/>
      <c r="M13" s="204"/>
    </row>
    <row r="14" spans="1:23" ht="15" x14ac:dyDescent="0.25">
      <c r="A14" s="210"/>
      <c r="B14" s="113" t="s">
        <v>353</v>
      </c>
      <c r="C14" s="211"/>
      <c r="D14" s="211"/>
      <c r="E14" s="212"/>
      <c r="F14" s="513"/>
      <c r="G14" s="213"/>
      <c r="H14" s="148"/>
      <c r="I14" s="203"/>
      <c r="J14" s="148"/>
      <c r="K14" s="148"/>
      <c r="L14" s="148"/>
      <c r="M14" s="148"/>
    </row>
    <row r="15" spans="1:23" ht="36.75" customHeight="1" x14ac:dyDescent="0.2">
      <c r="A15" s="214" t="s">
        <v>452</v>
      </c>
      <c r="B15" s="641" t="s">
        <v>1363</v>
      </c>
      <c r="C15" s="641"/>
    </row>
    <row r="16" spans="1:23" ht="27" customHeight="1" x14ac:dyDescent="0.2">
      <c r="A16" s="217" t="s">
        <v>462</v>
      </c>
      <c r="B16" s="641" t="s">
        <v>1364</v>
      </c>
      <c r="C16" s="641"/>
    </row>
  </sheetData>
  <mergeCells count="4">
    <mergeCell ref="A1:K1"/>
    <mergeCell ref="A3:B3"/>
    <mergeCell ref="B15:C15"/>
    <mergeCell ref="B16:C16"/>
  </mergeCells>
  <pageMargins left="0.45" right="0.45" top="0.92200000000000015" bottom="1.1437000000000002" header="0.30000000000000004" footer="0.75000000000000011"/>
  <pageSetup orientation="landscape" r:id="rId1"/>
  <headerFooter alignWithMargins="0">
    <oddHeader>&amp;C&amp;"Calibri,Regular"&amp;10Council 8600 Budget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5"/>
  <sheetViews>
    <sheetView topLeftCell="A6" zoomScaleNormal="100" workbookViewId="0">
      <selection activeCell="D22" sqref="D22"/>
    </sheetView>
  </sheetViews>
  <sheetFormatPr defaultRowHeight="48.75" customHeight="1" x14ac:dyDescent="0.2"/>
  <cols>
    <col min="1" max="1" width="5.25" customWidth="1"/>
    <col min="2" max="2" width="19" style="124" customWidth="1"/>
    <col min="3" max="3" width="11.75" style="192" customWidth="1"/>
    <col min="4" max="4" width="6.875" style="192" customWidth="1"/>
    <col min="5" max="5" width="35.25" style="124" customWidth="1"/>
    <col min="6" max="6" width="9.875" style="149" hidden="1" customWidth="1"/>
    <col min="7" max="7" width="5.25" style="215" hidden="1" customWidth="1"/>
    <col min="8" max="8" width="3.375" style="149" hidden="1" customWidth="1"/>
    <col min="9" max="9" width="4.25" style="215" hidden="1" customWidth="1"/>
    <col min="10" max="10" width="4.25" style="149" hidden="1" customWidth="1"/>
    <col min="11" max="11" width="2.75" style="149" hidden="1" customWidth="1"/>
    <col min="12" max="12" width="11.125" style="16" customWidth="1"/>
    <col min="13" max="13" width="15.125" style="471" customWidth="1"/>
    <col min="14" max="14" width="11" style="471" customWidth="1"/>
    <col min="15" max="15" width="22" customWidth="1"/>
    <col min="16" max="1025" width="7.375" customWidth="1"/>
  </cols>
  <sheetData>
    <row r="1" spans="1:15" s="218" customFormat="1" ht="24.75" customHeight="1" x14ac:dyDescent="0.2">
      <c r="A1" s="642" t="str">
        <f>Income!A2</f>
        <v>2024-25 Council  8600 Budget, Grand Knight Joseph Minus</v>
      </c>
      <c r="B1" s="642"/>
      <c r="C1" s="642"/>
      <c r="D1" s="642"/>
      <c r="E1" s="642"/>
      <c r="F1" s="642"/>
      <c r="G1" s="642"/>
      <c r="H1" s="642"/>
      <c r="I1" s="642"/>
      <c r="J1" s="642"/>
      <c r="K1" s="642"/>
      <c r="L1" s="642"/>
      <c r="M1" s="471"/>
      <c r="N1" s="471"/>
    </row>
    <row r="2" spans="1:15" ht="32.25" customHeight="1" x14ac:dyDescent="0.2">
      <c r="A2" s="166" t="s">
        <v>369</v>
      </c>
      <c r="B2" s="166" t="s">
        <v>251</v>
      </c>
      <c r="C2" s="167" t="s">
        <v>370</v>
      </c>
      <c r="D2" s="195" t="s">
        <v>371</v>
      </c>
      <c r="E2" s="195" t="s">
        <v>1310</v>
      </c>
      <c r="F2" s="195"/>
      <c r="G2" s="195" t="s">
        <v>373</v>
      </c>
      <c r="H2" s="195" t="s">
        <v>374</v>
      </c>
      <c r="I2" s="195" t="s">
        <v>375</v>
      </c>
      <c r="J2" s="195" t="s">
        <v>376</v>
      </c>
      <c r="K2" s="195" t="s">
        <v>377</v>
      </c>
      <c r="L2" s="195" t="s">
        <v>262</v>
      </c>
    </row>
    <row r="3" spans="1:15" ht="24.75" customHeight="1" x14ac:dyDescent="0.2">
      <c r="A3" s="643" t="s">
        <v>474</v>
      </c>
      <c r="B3" s="643"/>
      <c r="C3" s="219"/>
      <c r="D3" s="219"/>
      <c r="E3" s="220"/>
      <c r="F3" s="174"/>
      <c r="G3" s="175"/>
      <c r="H3" s="176"/>
      <c r="I3" s="176"/>
      <c r="J3" s="176"/>
      <c r="K3" s="176"/>
      <c r="L3" s="221"/>
    </row>
    <row r="4" spans="1:15" s="16" customFormat="1" ht="26.25" customHeight="1" x14ac:dyDescent="0.2">
      <c r="A4" s="222" t="s">
        <v>178</v>
      </c>
      <c r="B4" s="223" t="s">
        <v>475</v>
      </c>
      <c r="C4" s="433">
        <v>1000</v>
      </c>
      <c r="D4" s="186" t="s">
        <v>381</v>
      </c>
      <c r="E4" s="223" t="s">
        <v>476</v>
      </c>
      <c r="F4" s="433">
        <f t="shared" ref="F4:F18" si="0">C4-G4</f>
        <v>1000</v>
      </c>
      <c r="G4" s="176">
        <f t="shared" ref="G4:G18" si="1">SUM(H4:K4)</f>
        <v>0</v>
      </c>
      <c r="H4" s="176">
        <v>0</v>
      </c>
      <c r="I4" s="176">
        <v>0</v>
      </c>
      <c r="J4" s="176">
        <v>0</v>
      </c>
      <c r="K4" s="223">
        <v>0</v>
      </c>
      <c r="L4" s="223" t="s">
        <v>477</v>
      </c>
      <c r="O4" s="476" t="s">
        <v>1221</v>
      </c>
    </row>
    <row r="5" spans="1:15" s="16" customFormat="1" ht="36" x14ac:dyDescent="0.2">
      <c r="A5" s="222" t="s">
        <v>182</v>
      </c>
      <c r="B5" s="223" t="s">
        <v>478</v>
      </c>
      <c r="C5" s="433">
        <v>0</v>
      </c>
      <c r="D5" s="186" t="s">
        <v>381</v>
      </c>
      <c r="E5" s="223" t="s">
        <v>1195</v>
      </c>
      <c r="F5" s="433">
        <f t="shared" si="0"/>
        <v>0</v>
      </c>
      <c r="G5" s="176">
        <f t="shared" si="1"/>
        <v>0</v>
      </c>
      <c r="H5" s="176">
        <v>0</v>
      </c>
      <c r="I5" s="176">
        <v>0</v>
      </c>
      <c r="J5" s="176">
        <v>0</v>
      </c>
      <c r="K5" s="223">
        <v>0</v>
      </c>
      <c r="L5" s="223" t="s">
        <v>479</v>
      </c>
      <c r="M5" s="419" t="s">
        <v>1237</v>
      </c>
      <c r="N5" s="471"/>
      <c r="O5" s="476" t="s">
        <v>1221</v>
      </c>
    </row>
    <row r="6" spans="1:15" s="16" customFormat="1" ht="21.75" customHeight="1" x14ac:dyDescent="0.2">
      <c r="A6" s="222" t="s">
        <v>184</v>
      </c>
      <c r="B6" s="223" t="s">
        <v>480</v>
      </c>
      <c r="C6" s="433">
        <v>75</v>
      </c>
      <c r="D6" s="186" t="s">
        <v>381</v>
      </c>
      <c r="E6" s="223" t="s">
        <v>481</v>
      </c>
      <c r="F6" s="433">
        <f t="shared" si="0"/>
        <v>75</v>
      </c>
      <c r="G6" s="176">
        <f t="shared" si="1"/>
        <v>0</v>
      </c>
      <c r="H6" s="176">
        <v>0</v>
      </c>
      <c r="I6" s="176">
        <v>0</v>
      </c>
      <c r="J6" s="176">
        <v>0</v>
      </c>
      <c r="K6" s="223">
        <v>0</v>
      </c>
      <c r="L6" s="223" t="s">
        <v>479</v>
      </c>
      <c r="M6" s="32"/>
      <c r="O6" s="476" t="s">
        <v>1221</v>
      </c>
    </row>
    <row r="7" spans="1:15" s="16" customFormat="1" ht="63" customHeight="1" x14ac:dyDescent="0.2">
      <c r="A7" s="222" t="s">
        <v>186</v>
      </c>
      <c r="B7" s="223" t="s">
        <v>482</v>
      </c>
      <c r="C7" s="433">
        <v>500</v>
      </c>
      <c r="D7" s="186" t="s">
        <v>381</v>
      </c>
      <c r="E7" s="223" t="s">
        <v>1305</v>
      </c>
      <c r="F7" s="433">
        <f t="shared" si="0"/>
        <v>500</v>
      </c>
      <c r="G7" s="176">
        <f t="shared" si="1"/>
        <v>0</v>
      </c>
      <c r="H7" s="176">
        <v>0</v>
      </c>
      <c r="I7" s="176">
        <v>0</v>
      </c>
      <c r="J7" s="176">
        <v>0</v>
      </c>
      <c r="K7" s="223">
        <v>0</v>
      </c>
      <c r="L7" s="223" t="s">
        <v>401</v>
      </c>
      <c r="M7" s="579"/>
      <c r="N7" s="539"/>
      <c r="O7" s="476" t="s">
        <v>1221</v>
      </c>
    </row>
    <row r="8" spans="1:15" s="16" customFormat="1" ht="23.25" customHeight="1" x14ac:dyDescent="0.2">
      <c r="A8" s="222" t="s">
        <v>483</v>
      </c>
      <c r="B8" s="535" t="s">
        <v>1266</v>
      </c>
      <c r="C8" s="433">
        <v>400</v>
      </c>
      <c r="D8" s="186" t="s">
        <v>381</v>
      </c>
      <c r="E8" s="569" t="s">
        <v>1222</v>
      </c>
      <c r="F8" s="433">
        <f t="shared" si="0"/>
        <v>400</v>
      </c>
      <c r="G8" s="176">
        <f t="shared" si="1"/>
        <v>0</v>
      </c>
      <c r="H8" s="176">
        <v>0</v>
      </c>
      <c r="I8" s="176">
        <v>0</v>
      </c>
      <c r="J8" s="176">
        <v>0</v>
      </c>
      <c r="K8" s="223">
        <v>0</v>
      </c>
      <c r="L8" s="186" t="s">
        <v>1224</v>
      </c>
      <c r="M8" s="576" t="s">
        <v>1267</v>
      </c>
      <c r="N8" s="537"/>
      <c r="O8" s="476" t="s">
        <v>1225</v>
      </c>
    </row>
    <row r="9" spans="1:15" s="16" customFormat="1" ht="73.5" customHeight="1" x14ac:dyDescent="0.2">
      <c r="A9" s="222" t="s">
        <v>484</v>
      </c>
      <c r="B9" s="223" t="s">
        <v>485</v>
      </c>
      <c r="C9" s="433">
        <v>1000</v>
      </c>
      <c r="D9" s="186" t="s">
        <v>381</v>
      </c>
      <c r="E9" s="185" t="s">
        <v>486</v>
      </c>
      <c r="F9" s="433">
        <f t="shared" si="0"/>
        <v>1000</v>
      </c>
      <c r="G9" s="176">
        <f t="shared" si="1"/>
        <v>0</v>
      </c>
      <c r="H9" s="176">
        <v>0</v>
      </c>
      <c r="I9" s="176">
        <v>0</v>
      </c>
      <c r="J9" s="176">
        <v>0</v>
      </c>
      <c r="K9" s="223">
        <v>0</v>
      </c>
      <c r="L9" s="186" t="s">
        <v>1224</v>
      </c>
      <c r="M9" s="32"/>
      <c r="O9" s="611" t="s">
        <v>1330</v>
      </c>
    </row>
    <row r="10" spans="1:15" s="16" customFormat="1" ht="25.5" x14ac:dyDescent="0.2">
      <c r="A10" s="222" t="s">
        <v>487</v>
      </c>
      <c r="B10" s="223" t="s">
        <v>488</v>
      </c>
      <c r="C10" s="433">
        <v>1000</v>
      </c>
      <c r="D10" s="186" t="s">
        <v>381</v>
      </c>
      <c r="E10" s="223" t="s">
        <v>489</v>
      </c>
      <c r="F10" s="433">
        <f t="shared" si="0"/>
        <v>1000</v>
      </c>
      <c r="G10" s="176">
        <f t="shared" si="1"/>
        <v>0</v>
      </c>
      <c r="H10" s="176">
        <v>0</v>
      </c>
      <c r="I10" s="176">
        <v>0</v>
      </c>
      <c r="J10" s="176">
        <v>0</v>
      </c>
      <c r="K10" s="223">
        <v>0</v>
      </c>
      <c r="L10" s="186" t="s">
        <v>1224</v>
      </c>
      <c r="M10" s="32"/>
      <c r="O10" s="611" t="s">
        <v>1330</v>
      </c>
    </row>
    <row r="11" spans="1:15" s="16" customFormat="1" ht="25.5" x14ac:dyDescent="0.2">
      <c r="A11" s="222" t="s">
        <v>490</v>
      </c>
      <c r="B11" s="223" t="s">
        <v>491</v>
      </c>
      <c r="C11" s="433">
        <v>1500</v>
      </c>
      <c r="D11" s="186" t="s">
        <v>381</v>
      </c>
      <c r="E11" s="223" t="s">
        <v>492</v>
      </c>
      <c r="F11" s="433">
        <f t="shared" si="0"/>
        <v>1500</v>
      </c>
      <c r="G11" s="176">
        <f t="shared" si="1"/>
        <v>0</v>
      </c>
      <c r="H11" s="176">
        <v>0</v>
      </c>
      <c r="I11" s="176">
        <v>0</v>
      </c>
      <c r="J11" s="176">
        <v>0</v>
      </c>
      <c r="K11" s="223">
        <v>0</v>
      </c>
      <c r="L11" s="186" t="s">
        <v>1224</v>
      </c>
      <c r="M11" s="32"/>
      <c r="O11" s="611" t="s">
        <v>1330</v>
      </c>
    </row>
    <row r="12" spans="1:15" s="16" customFormat="1" ht="24.75" customHeight="1" x14ac:dyDescent="0.2">
      <c r="A12" s="222" t="s">
        <v>188</v>
      </c>
      <c r="B12" s="223" t="s">
        <v>493</v>
      </c>
      <c r="C12" s="433">
        <v>1000</v>
      </c>
      <c r="D12" s="186" t="s">
        <v>381</v>
      </c>
      <c r="E12" s="223" t="s">
        <v>494</v>
      </c>
      <c r="F12" s="433">
        <f t="shared" si="0"/>
        <v>1000</v>
      </c>
      <c r="G12" s="176">
        <f t="shared" si="1"/>
        <v>0</v>
      </c>
      <c r="H12" s="176">
        <v>0</v>
      </c>
      <c r="I12" s="176">
        <v>0</v>
      </c>
      <c r="J12" s="176">
        <v>0</v>
      </c>
      <c r="K12" s="223">
        <v>0</v>
      </c>
      <c r="L12" s="186" t="s">
        <v>1224</v>
      </c>
      <c r="M12" s="32"/>
      <c r="O12" s="611" t="s">
        <v>1330</v>
      </c>
    </row>
    <row r="13" spans="1:15" s="16" customFormat="1" ht="24" x14ac:dyDescent="0.2">
      <c r="A13" s="222" t="s">
        <v>495</v>
      </c>
      <c r="B13" s="223" t="s">
        <v>496</v>
      </c>
      <c r="C13" s="433">
        <v>250</v>
      </c>
      <c r="D13" s="186" t="s">
        <v>381</v>
      </c>
      <c r="E13" s="223" t="s">
        <v>497</v>
      </c>
      <c r="F13" s="433">
        <f t="shared" si="0"/>
        <v>250</v>
      </c>
      <c r="G13" s="176">
        <f t="shared" si="1"/>
        <v>0</v>
      </c>
      <c r="H13" s="176">
        <v>0</v>
      </c>
      <c r="I13" s="176">
        <v>0</v>
      </c>
      <c r="J13" s="176">
        <v>0</v>
      </c>
      <c r="K13" s="223">
        <v>0</v>
      </c>
      <c r="L13" s="186" t="s">
        <v>1224</v>
      </c>
      <c r="M13" s="32"/>
      <c r="O13" s="476"/>
    </row>
    <row r="14" spans="1:15" s="16" customFormat="1" ht="24" x14ac:dyDescent="0.2">
      <c r="A14" s="222" t="s">
        <v>1246</v>
      </c>
      <c r="B14" s="223" t="s">
        <v>1244</v>
      </c>
      <c r="C14" s="533">
        <v>0</v>
      </c>
      <c r="D14" s="186" t="s">
        <v>381</v>
      </c>
      <c r="E14" s="223" t="s">
        <v>1245</v>
      </c>
      <c r="F14" s="433">
        <v>0</v>
      </c>
      <c r="G14" s="176"/>
      <c r="H14" s="176"/>
      <c r="I14" s="176"/>
      <c r="J14" s="176"/>
      <c r="K14" s="223"/>
      <c r="L14" s="186" t="s">
        <v>1224</v>
      </c>
      <c r="M14" s="577" t="s">
        <v>1271</v>
      </c>
      <c r="N14" s="518"/>
      <c r="O14" s="476" t="s">
        <v>1331</v>
      </c>
    </row>
    <row r="15" spans="1:15" s="16" customFormat="1" ht="24" x14ac:dyDescent="0.2">
      <c r="A15" s="222" t="s">
        <v>180</v>
      </c>
      <c r="B15" s="223" t="s">
        <v>1248</v>
      </c>
      <c r="C15" s="533">
        <v>0</v>
      </c>
      <c r="D15" s="186" t="s">
        <v>381</v>
      </c>
      <c r="E15" s="223" t="s">
        <v>1306</v>
      </c>
      <c r="F15" s="433">
        <v>0</v>
      </c>
      <c r="G15" s="176"/>
      <c r="H15" s="176"/>
      <c r="I15" s="176"/>
      <c r="J15" s="176"/>
      <c r="K15" s="223"/>
      <c r="L15" s="186" t="s">
        <v>1224</v>
      </c>
      <c r="M15" s="577" t="s">
        <v>1271</v>
      </c>
      <c r="N15" s="518"/>
      <c r="O15" s="476"/>
    </row>
    <row r="16" spans="1:15" s="16" customFormat="1" ht="16.5" x14ac:dyDescent="0.2">
      <c r="A16" s="222" t="s">
        <v>1112</v>
      </c>
      <c r="B16" s="590" t="s">
        <v>1307</v>
      </c>
      <c r="C16" s="591">
        <v>500</v>
      </c>
      <c r="D16" s="186" t="s">
        <v>381</v>
      </c>
      <c r="E16" s="223" t="s">
        <v>1308</v>
      </c>
      <c r="F16" s="433"/>
      <c r="G16" s="176"/>
      <c r="H16" s="176"/>
      <c r="I16" s="176"/>
      <c r="J16" s="176"/>
      <c r="K16" s="223"/>
      <c r="L16" s="186" t="s">
        <v>1224</v>
      </c>
      <c r="M16" s="589"/>
      <c r="N16" s="518"/>
      <c r="O16" s="476" t="s">
        <v>1221</v>
      </c>
    </row>
    <row r="17" spans="1:15" s="16" customFormat="1" ht="24" customHeight="1" x14ac:dyDescent="0.2">
      <c r="A17" s="222" t="s">
        <v>1117</v>
      </c>
      <c r="B17" s="224" t="s">
        <v>1332</v>
      </c>
      <c r="C17" s="433">
        <v>500</v>
      </c>
      <c r="D17" s="186" t="s">
        <v>381</v>
      </c>
      <c r="E17" s="223" t="s">
        <v>498</v>
      </c>
      <c r="F17" s="433">
        <f t="shared" si="0"/>
        <v>500</v>
      </c>
      <c r="G17" s="176">
        <f t="shared" si="1"/>
        <v>0</v>
      </c>
      <c r="H17" s="176">
        <v>0</v>
      </c>
      <c r="I17" s="176">
        <v>0</v>
      </c>
      <c r="J17" s="176">
        <v>0</v>
      </c>
      <c r="K17" s="224">
        <v>0</v>
      </c>
      <c r="L17" s="186" t="s">
        <v>1224</v>
      </c>
      <c r="M17" s="32"/>
      <c r="O17" s="481" t="s">
        <v>1223</v>
      </c>
    </row>
    <row r="18" spans="1:15" s="16" customFormat="1" ht="16.5" x14ac:dyDescent="0.2">
      <c r="A18" s="222"/>
      <c r="B18" s="225" t="s">
        <v>499</v>
      </c>
      <c r="C18" s="434">
        <f>SUM(C4:C17)</f>
        <v>7725</v>
      </c>
      <c r="D18" s="226"/>
      <c r="E18" s="227"/>
      <c r="F18" s="433">
        <f t="shared" si="0"/>
        <v>7725</v>
      </c>
      <c r="G18" s="176">
        <f t="shared" si="1"/>
        <v>0</v>
      </c>
      <c r="H18" s="176">
        <f>SUM(H4:H17)</f>
        <v>0</v>
      </c>
      <c r="I18" s="176">
        <f>SUM(I4:I17)</f>
        <v>0</v>
      </c>
      <c r="J18" s="176">
        <f>SUM(J4:J17)</f>
        <v>0</v>
      </c>
      <c r="K18" s="176">
        <f>SUM(K4:K17)</f>
        <v>0</v>
      </c>
      <c r="L18" s="228"/>
      <c r="M18" s="471"/>
      <c r="N18" s="471"/>
    </row>
    <row r="19" spans="1:15" ht="16.5" hidden="1" x14ac:dyDescent="0.2">
      <c r="A19" s="229"/>
      <c r="B19" s="230"/>
      <c r="C19" s="231"/>
      <c r="D19" s="231"/>
      <c r="E19" s="232"/>
      <c r="L19" s="233"/>
    </row>
    <row r="20" spans="1:15" ht="12.75" customHeight="1" x14ac:dyDescent="0.2">
      <c r="A20" s="234"/>
      <c r="B20" s="235" t="s">
        <v>353</v>
      </c>
      <c r="C20" s="236"/>
      <c r="D20" s="236"/>
      <c r="E20" s="237"/>
      <c r="L20" s="238"/>
    </row>
    <row r="21" spans="1:15" ht="48.75" customHeight="1" x14ac:dyDescent="0.2">
      <c r="A21" s="239" t="s">
        <v>490</v>
      </c>
      <c r="B21" s="651" t="s">
        <v>1365</v>
      </c>
      <c r="C21" s="651"/>
      <c r="D21" s="651"/>
      <c r="E21" s="651"/>
      <c r="F21" s="651"/>
      <c r="G21" s="651"/>
      <c r="H21" s="651"/>
      <c r="I21" s="651"/>
      <c r="J21" s="651"/>
      <c r="K21" s="651"/>
      <c r="L21" s="651"/>
    </row>
    <row r="25" spans="1:15" ht="48.75" customHeight="1" x14ac:dyDescent="0.2">
      <c r="E25" s="240"/>
    </row>
  </sheetData>
  <mergeCells count="3">
    <mergeCell ref="A1:L1"/>
    <mergeCell ref="A3:B3"/>
    <mergeCell ref="B21:L21"/>
  </mergeCells>
  <pageMargins left="0.45" right="0.45" top="0.92200000000000015" bottom="1.1437000000000002" header="0.30000000000000004" footer="0.75000000000000011"/>
  <pageSetup fitToHeight="0" orientation="landscape" r:id="rId1"/>
  <headerFooter alignWithMargins="0">
    <oddHeader>&amp;C&amp;"Calibri,Regular"&amp;10Council 8600 Budget</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33"/>
  <sheetViews>
    <sheetView topLeftCell="A2" zoomScaleNormal="100" workbookViewId="0">
      <selection activeCell="Q29" sqref="Q29"/>
    </sheetView>
  </sheetViews>
  <sheetFormatPr defaultRowHeight="21" customHeight="1" x14ac:dyDescent="0.2"/>
  <cols>
    <col min="1" max="1" width="5.25" customWidth="1"/>
    <col min="2" max="2" width="25.625" style="124" customWidth="1"/>
    <col min="3" max="3" width="15.125" style="125" customWidth="1"/>
    <col min="4" max="4" width="11.875" style="125" hidden="1" customWidth="1"/>
    <col min="5" max="5" width="8.625" style="149" hidden="1" customWidth="1"/>
    <col min="6" max="6" width="5.875" style="422" hidden="1" customWidth="1"/>
    <col min="7" max="7" width="5.375" style="423" hidden="1" customWidth="1"/>
    <col min="8" max="8" width="4" style="422" hidden="1" customWidth="1"/>
    <col min="9" max="9" width="4.25" style="423" hidden="1" customWidth="1"/>
    <col min="10" max="10" width="4.5" style="423" hidden="1" customWidth="1"/>
    <col min="11" max="11" width="47.5" style="124" customWidth="1"/>
    <col min="12" max="12" width="11.125" style="16" hidden="1" customWidth="1"/>
    <col min="13" max="13" width="12.875" hidden="1" customWidth="1"/>
    <col min="14" max="14" width="1.25" hidden="1" customWidth="1"/>
    <col min="15" max="15" width="10.625" style="124" customWidth="1"/>
    <col min="16" max="16" width="20.875" style="124" customWidth="1"/>
    <col min="17" max="17" width="33.25" customWidth="1"/>
    <col min="18" max="18" width="7.625" customWidth="1"/>
    <col min="19" max="23" width="7.75" customWidth="1"/>
    <col min="24" max="24" width="10.75" customWidth="1"/>
    <col min="25" max="25" width="9.75" style="16" customWidth="1"/>
    <col min="26" max="1024" width="7.375" customWidth="1"/>
  </cols>
  <sheetData>
    <row r="1" spans="1:24" ht="48" hidden="1" x14ac:dyDescent="0.2">
      <c r="A1" s="241"/>
      <c r="B1" s="242" t="s">
        <v>249</v>
      </c>
      <c r="C1" s="243"/>
      <c r="D1" s="243"/>
      <c r="E1" s="195"/>
      <c r="F1" s="168" t="s">
        <v>373</v>
      </c>
      <c r="G1" s="168" t="s">
        <v>374</v>
      </c>
      <c r="H1" s="168" t="s">
        <v>375</v>
      </c>
      <c r="I1" s="168" t="s">
        <v>376</v>
      </c>
      <c r="J1" s="168" t="s">
        <v>377</v>
      </c>
      <c r="K1" s="244" t="e">
        <f>#REF!</f>
        <v>#REF!</v>
      </c>
      <c r="L1" s="244"/>
      <c r="M1" s="244"/>
      <c r="N1" s="221" t="e">
        <f>#REF!-#REF!</f>
        <v>#REF!</v>
      </c>
      <c r="O1" s="245" t="s">
        <v>250</v>
      </c>
      <c r="P1" s="115"/>
      <c r="Q1" s="83"/>
      <c r="R1" s="83"/>
      <c r="S1" s="83"/>
      <c r="T1" s="83"/>
      <c r="U1" s="83"/>
    </row>
    <row r="2" spans="1:24" ht="19.5" customHeight="1" x14ac:dyDescent="0.2">
      <c r="A2" s="644" t="str">
        <f>Income!A2</f>
        <v>2024-25 Council  8600 Budget, Grand Knight Joseph Minus</v>
      </c>
      <c r="B2" s="644"/>
      <c r="C2" s="644"/>
      <c r="D2" s="644"/>
      <c r="E2" s="644"/>
      <c r="F2" s="644"/>
      <c r="G2" s="644"/>
      <c r="H2" s="644"/>
      <c r="I2" s="644"/>
      <c r="J2" s="644"/>
      <c r="K2" s="644"/>
      <c r="L2" s="644"/>
      <c r="M2" s="644"/>
      <c r="N2" s="644"/>
      <c r="O2" s="644"/>
      <c r="P2" s="115"/>
      <c r="Q2" s="83"/>
      <c r="R2" s="83"/>
      <c r="S2" s="83"/>
      <c r="T2" s="83"/>
      <c r="U2" s="83"/>
    </row>
    <row r="3" spans="1:24" ht="27" customHeight="1" x14ac:dyDescent="0.2">
      <c r="A3" s="195" t="s">
        <v>369</v>
      </c>
      <c r="B3" s="195" t="s">
        <v>251</v>
      </c>
      <c r="C3" s="195" t="s">
        <v>500</v>
      </c>
      <c r="D3" s="195" t="s">
        <v>371</v>
      </c>
      <c r="E3" s="449" t="s">
        <v>598</v>
      </c>
      <c r="F3" s="168" t="s">
        <v>501</v>
      </c>
      <c r="G3" s="168" t="s">
        <v>374</v>
      </c>
      <c r="H3" s="168" t="s">
        <v>375</v>
      </c>
      <c r="I3" s="168" t="s">
        <v>376</v>
      </c>
      <c r="J3" s="168" t="s">
        <v>377</v>
      </c>
      <c r="K3" s="195" t="s">
        <v>259</v>
      </c>
      <c r="L3" s="195" t="s">
        <v>260</v>
      </c>
      <c r="M3" s="195" t="s">
        <v>261</v>
      </c>
      <c r="N3" s="195"/>
      <c r="O3" s="195" t="s">
        <v>262</v>
      </c>
      <c r="P3" s="115"/>
      <c r="Q3" s="83"/>
      <c r="R3" s="83"/>
      <c r="S3" s="83"/>
      <c r="T3" s="83"/>
      <c r="U3" s="83"/>
    </row>
    <row r="4" spans="1:24" s="16" customFormat="1" ht="21.75" customHeight="1" x14ac:dyDescent="0.2">
      <c r="A4" s="645" t="s">
        <v>502</v>
      </c>
      <c r="B4" s="645"/>
      <c r="C4" s="444"/>
      <c r="D4" s="176"/>
      <c r="E4" s="433"/>
      <c r="F4" s="415"/>
      <c r="G4" s="415"/>
      <c r="H4" s="415"/>
      <c r="I4" s="415"/>
      <c r="J4" s="415"/>
      <c r="K4" s="176"/>
      <c r="L4" s="176"/>
      <c r="M4" s="176"/>
      <c r="N4" s="176"/>
      <c r="O4" s="176"/>
      <c r="P4" s="187"/>
      <c r="Q4" s="111"/>
      <c r="R4" s="111"/>
      <c r="S4" s="111"/>
      <c r="T4" s="111"/>
      <c r="U4" s="111"/>
    </row>
    <row r="5" spans="1:24" s="16" customFormat="1" ht="30" x14ac:dyDescent="0.2">
      <c r="A5" s="222" t="s">
        <v>190</v>
      </c>
      <c r="B5" s="246" t="s">
        <v>503</v>
      </c>
      <c r="C5" s="445">
        <f>520*3.5</f>
        <v>1820</v>
      </c>
      <c r="D5" s="248"/>
      <c r="E5" s="433">
        <f>C5-F5</f>
        <v>1820</v>
      </c>
      <c r="F5" s="299">
        <f t="shared" ref="F5:F28" si="0">SUM(G5:J5)</f>
        <v>0</v>
      </c>
      <c r="G5" s="299">
        <v>0</v>
      </c>
      <c r="H5" s="299">
        <v>0</v>
      </c>
      <c r="I5" s="299">
        <v>0</v>
      </c>
      <c r="J5" s="223">
        <v>0</v>
      </c>
      <c r="K5" s="246" t="s">
        <v>504</v>
      </c>
      <c r="L5" s="249"/>
      <c r="M5" s="250" t="e">
        <f>#REF!</f>
        <v>#REF!</v>
      </c>
      <c r="N5" s="251">
        <f>(465*3.5)+(13*10)</f>
        <v>1757.5</v>
      </c>
      <c r="O5" s="252" t="s">
        <v>266</v>
      </c>
      <c r="P5" s="187"/>
      <c r="Q5" s="111"/>
      <c r="R5" s="111"/>
      <c r="S5" s="111"/>
      <c r="T5" s="111"/>
      <c r="U5" s="111"/>
      <c r="X5" s="112"/>
    </row>
    <row r="6" spans="1:24" s="16" customFormat="1" ht="30" x14ac:dyDescent="0.2">
      <c r="A6" s="222" t="s">
        <v>197</v>
      </c>
      <c r="B6" s="250" t="s">
        <v>505</v>
      </c>
      <c r="C6" s="445">
        <v>1040</v>
      </c>
      <c r="D6" s="248"/>
      <c r="E6" s="433">
        <f t="shared" ref="E6:E23" si="1">C6-F6</f>
        <v>1040</v>
      </c>
      <c r="F6" s="299">
        <f t="shared" si="0"/>
        <v>0</v>
      </c>
      <c r="G6" s="299">
        <v>0</v>
      </c>
      <c r="H6" s="299">
        <v>0</v>
      </c>
      <c r="I6" s="416">
        <v>0</v>
      </c>
      <c r="J6" s="223">
        <v>0</v>
      </c>
      <c r="K6" s="246" t="s">
        <v>504</v>
      </c>
      <c r="L6" s="249"/>
      <c r="M6" s="250" t="e">
        <f>#REF!</f>
        <v>#REF!</v>
      </c>
      <c r="N6" s="251">
        <f>(465*2)+(10*2)</f>
        <v>950</v>
      </c>
      <c r="O6" s="252" t="s">
        <v>266</v>
      </c>
      <c r="P6" s="187"/>
      <c r="Q6" s="111"/>
      <c r="R6" s="111"/>
      <c r="S6" s="111"/>
      <c r="T6" s="111"/>
      <c r="U6" s="111"/>
      <c r="X6" s="112"/>
    </row>
    <row r="7" spans="1:24" s="16" customFormat="1" ht="30" x14ac:dyDescent="0.2">
      <c r="A7" s="222" t="s">
        <v>209</v>
      </c>
      <c r="B7" s="250" t="s">
        <v>506</v>
      </c>
      <c r="C7" s="445">
        <v>520</v>
      </c>
      <c r="D7" s="248"/>
      <c r="E7" s="433">
        <f t="shared" si="1"/>
        <v>520</v>
      </c>
      <c r="F7" s="299">
        <f t="shared" si="0"/>
        <v>0</v>
      </c>
      <c r="G7" s="299">
        <v>0</v>
      </c>
      <c r="H7" s="299">
        <v>0</v>
      </c>
      <c r="I7" s="299">
        <v>0</v>
      </c>
      <c r="J7" s="223">
        <v>0</v>
      </c>
      <c r="K7" s="246" t="s">
        <v>504</v>
      </c>
      <c r="L7" s="249"/>
      <c r="M7" s="250" t="e">
        <f>#REF!</f>
        <v>#REF!</v>
      </c>
      <c r="N7" s="251">
        <f>(465*1)+(10*1)</f>
        <v>475</v>
      </c>
      <c r="O7" s="252" t="s">
        <v>266</v>
      </c>
      <c r="P7" s="187"/>
      <c r="Q7" s="111"/>
      <c r="R7" s="111"/>
      <c r="S7" s="111"/>
      <c r="T7" s="111"/>
      <c r="U7" s="111"/>
      <c r="X7" s="112"/>
    </row>
    <row r="8" spans="1:24" s="16" customFormat="1" ht="30" x14ac:dyDescent="0.2">
      <c r="A8" s="222" t="s">
        <v>507</v>
      </c>
      <c r="B8" s="246" t="s">
        <v>1249</v>
      </c>
      <c r="C8" s="445">
        <v>1572</v>
      </c>
      <c r="D8" s="254"/>
      <c r="E8" s="433">
        <f t="shared" si="1"/>
        <v>1572</v>
      </c>
      <c r="F8" s="299">
        <f t="shared" si="0"/>
        <v>0</v>
      </c>
      <c r="G8" s="299">
        <v>0</v>
      </c>
      <c r="H8" s="299">
        <v>0</v>
      </c>
      <c r="I8" s="299">
        <v>0</v>
      </c>
      <c r="J8" s="223">
        <v>0</v>
      </c>
      <c r="K8" s="246" t="s">
        <v>508</v>
      </c>
      <c r="L8" s="249"/>
      <c r="M8" s="250" t="e">
        <f>#REF!</f>
        <v>#REF!</v>
      </c>
      <c r="N8" s="251">
        <f>(465*4)+(10*4)</f>
        <v>1900</v>
      </c>
      <c r="O8" s="252" t="s">
        <v>266</v>
      </c>
      <c r="P8" s="187"/>
      <c r="Q8" s="571">
        <f>C8/7</f>
        <v>224.57142857142858</v>
      </c>
      <c r="R8" s="111"/>
      <c r="S8" s="111"/>
      <c r="T8" s="111"/>
      <c r="U8" s="111"/>
      <c r="X8" s="112"/>
    </row>
    <row r="9" spans="1:24" s="16" customFormat="1" ht="21" customHeight="1" x14ac:dyDescent="0.2">
      <c r="A9" s="222" t="s">
        <v>215</v>
      </c>
      <c r="B9" s="250" t="s">
        <v>509</v>
      </c>
      <c r="C9" s="445">
        <f>Income!$D$24</f>
        <v>950</v>
      </c>
      <c r="D9" s="248" t="s">
        <v>381</v>
      </c>
      <c r="E9" s="433">
        <f t="shared" si="1"/>
        <v>950</v>
      </c>
      <c r="F9" s="299">
        <f t="shared" si="0"/>
        <v>0</v>
      </c>
      <c r="G9" s="299">
        <v>0</v>
      </c>
      <c r="H9" s="299">
        <v>0</v>
      </c>
      <c r="I9" s="299">
        <v>0</v>
      </c>
      <c r="J9" s="223">
        <v>0</v>
      </c>
      <c r="K9" s="246" t="s">
        <v>510</v>
      </c>
      <c r="L9" s="249"/>
      <c r="M9" s="250" t="e">
        <f>#REF!</f>
        <v>#REF!</v>
      </c>
      <c r="N9" s="251">
        <f>(465*3.65)/2</f>
        <v>848.625</v>
      </c>
      <c r="O9" s="252" t="s">
        <v>266</v>
      </c>
      <c r="P9" s="187"/>
      <c r="Q9" s="111"/>
      <c r="R9" s="111"/>
      <c r="S9" s="111"/>
      <c r="T9" s="111"/>
      <c r="U9" s="111"/>
      <c r="X9" s="112"/>
    </row>
    <row r="10" spans="1:24" s="16" customFormat="1" ht="22.5" customHeight="1" x14ac:dyDescent="0.2">
      <c r="A10" s="222" t="s">
        <v>100</v>
      </c>
      <c r="B10" s="250" t="s">
        <v>511</v>
      </c>
      <c r="C10" s="445">
        <v>500</v>
      </c>
      <c r="D10" s="248"/>
      <c r="E10" s="433">
        <f t="shared" si="1"/>
        <v>500</v>
      </c>
      <c r="F10" s="299">
        <f t="shared" si="0"/>
        <v>0</v>
      </c>
      <c r="G10" s="299">
        <v>0</v>
      </c>
      <c r="H10" s="299">
        <v>0</v>
      </c>
      <c r="I10" s="299">
        <v>0</v>
      </c>
      <c r="J10" s="223">
        <v>0</v>
      </c>
      <c r="K10" s="255" t="s">
        <v>512</v>
      </c>
      <c r="L10" s="256"/>
      <c r="M10" s="250" t="e">
        <f>#REF!</f>
        <v>#REF!</v>
      </c>
      <c r="N10" s="251"/>
      <c r="O10" s="252" t="s">
        <v>266</v>
      </c>
      <c r="P10" s="617" t="s">
        <v>1351</v>
      </c>
      <c r="Q10" s="111"/>
      <c r="R10" s="111"/>
      <c r="S10" s="111"/>
      <c r="T10" s="111"/>
      <c r="U10" s="111"/>
      <c r="X10" s="112"/>
    </row>
    <row r="11" spans="1:24" s="16" customFormat="1" ht="30" x14ac:dyDescent="0.2">
      <c r="A11" s="222" t="s">
        <v>119</v>
      </c>
      <c r="B11" s="250" t="s">
        <v>513</v>
      </c>
      <c r="C11" s="445">
        <v>200</v>
      </c>
      <c r="D11" s="248"/>
      <c r="E11" s="433">
        <f t="shared" si="1"/>
        <v>200</v>
      </c>
      <c r="F11" s="299">
        <f t="shared" si="0"/>
        <v>0</v>
      </c>
      <c r="G11" s="299">
        <v>0</v>
      </c>
      <c r="H11" s="419">
        <v>0</v>
      </c>
      <c r="I11" s="299">
        <v>0</v>
      </c>
      <c r="J11" s="223">
        <v>0</v>
      </c>
      <c r="K11" s="246" t="s">
        <v>514</v>
      </c>
      <c r="L11" s="257"/>
      <c r="M11" s="250" t="e">
        <f>#REF!</f>
        <v>#REF!</v>
      </c>
      <c r="N11" s="258"/>
      <c r="O11" s="252" t="s">
        <v>515</v>
      </c>
      <c r="P11" s="496" t="s">
        <v>1235</v>
      </c>
      <c r="Q11" s="260"/>
      <c r="R11" s="260"/>
      <c r="S11" s="260"/>
      <c r="T11" s="260"/>
      <c r="U11" s="260"/>
      <c r="X11" s="112"/>
    </row>
    <row r="12" spans="1:24" s="16" customFormat="1" ht="16.5" x14ac:dyDescent="0.2">
      <c r="A12" s="222" t="s">
        <v>163</v>
      </c>
      <c r="B12" s="250" t="s">
        <v>516</v>
      </c>
      <c r="C12" s="445">
        <v>200</v>
      </c>
      <c r="D12" s="248"/>
      <c r="E12" s="433">
        <f t="shared" si="1"/>
        <v>200</v>
      </c>
      <c r="F12" s="299">
        <f t="shared" si="0"/>
        <v>0</v>
      </c>
      <c r="G12" s="299">
        <v>0</v>
      </c>
      <c r="H12" s="299">
        <v>0</v>
      </c>
      <c r="I12" s="299">
        <v>0</v>
      </c>
      <c r="J12" s="223">
        <v>0</v>
      </c>
      <c r="K12" s="246" t="s">
        <v>517</v>
      </c>
      <c r="L12" s="256"/>
      <c r="M12" s="250" t="e">
        <f>#REF!</f>
        <v>#REF!</v>
      </c>
      <c r="N12" s="251"/>
      <c r="O12" s="252" t="s">
        <v>341</v>
      </c>
      <c r="P12" s="259"/>
      <c r="Q12" s="260"/>
      <c r="R12" s="260"/>
      <c r="S12" s="260"/>
      <c r="T12" s="260"/>
      <c r="U12" s="260"/>
      <c r="X12" s="112"/>
    </row>
    <row r="13" spans="1:24" ht="24.75" customHeight="1" x14ac:dyDescent="0.2">
      <c r="A13" s="261" t="s">
        <v>518</v>
      </c>
      <c r="B13" s="262" t="s">
        <v>519</v>
      </c>
      <c r="C13" s="445">
        <v>500</v>
      </c>
      <c r="D13" s="248"/>
      <c r="E13" s="433">
        <f t="shared" si="1"/>
        <v>500</v>
      </c>
      <c r="F13" s="299">
        <f t="shared" si="0"/>
        <v>0</v>
      </c>
      <c r="G13" s="299">
        <v>0</v>
      </c>
      <c r="H13" s="299">
        <v>0</v>
      </c>
      <c r="I13" s="299">
        <v>0</v>
      </c>
      <c r="J13" s="223">
        <v>0</v>
      </c>
      <c r="K13" s="263" t="s">
        <v>520</v>
      </c>
      <c r="L13" s="249"/>
      <c r="M13" s="250" t="e">
        <f>#REF!</f>
        <v>#REF!</v>
      </c>
      <c r="N13" s="264"/>
      <c r="O13" s="265" t="s">
        <v>521</v>
      </c>
      <c r="P13" s="266"/>
      <c r="Q13" s="267"/>
      <c r="R13" s="267"/>
      <c r="S13" s="267"/>
      <c r="T13" s="267"/>
      <c r="U13" s="267"/>
      <c r="X13" s="112"/>
    </row>
    <row r="14" spans="1:24" ht="19.5" customHeight="1" x14ac:dyDescent="0.2">
      <c r="A14" s="261" t="s">
        <v>522</v>
      </c>
      <c r="B14" s="262" t="s">
        <v>523</v>
      </c>
      <c r="C14" s="445">
        <f>0.1*Income!D5</f>
        <v>1312.5</v>
      </c>
      <c r="D14" s="248"/>
      <c r="E14" s="433">
        <f t="shared" si="1"/>
        <v>1312.5</v>
      </c>
      <c r="F14" s="299">
        <f t="shared" si="0"/>
        <v>0</v>
      </c>
      <c r="G14" s="299">
        <v>0</v>
      </c>
      <c r="H14" s="299">
        <v>0</v>
      </c>
      <c r="I14" s="299">
        <v>0</v>
      </c>
      <c r="J14" s="223">
        <v>0</v>
      </c>
      <c r="K14" s="263" t="s">
        <v>524</v>
      </c>
      <c r="L14" s="249"/>
      <c r="M14" s="250" t="e">
        <f>#REF!</f>
        <v>#REF!</v>
      </c>
      <c r="N14" s="268" t="e">
        <f>#REF!</f>
        <v>#REF!</v>
      </c>
      <c r="O14" s="265" t="s">
        <v>525</v>
      </c>
      <c r="P14" s="115"/>
      <c r="Q14" s="83"/>
      <c r="R14" s="83"/>
      <c r="S14" s="83"/>
      <c r="T14" s="83"/>
      <c r="U14" s="83"/>
      <c r="X14" s="112"/>
    </row>
    <row r="15" spans="1:24" ht="16.5" x14ac:dyDescent="0.2">
      <c r="A15" s="261" t="s">
        <v>85</v>
      </c>
      <c r="B15" s="262" t="s">
        <v>526</v>
      </c>
      <c r="C15" s="445">
        <v>650</v>
      </c>
      <c r="D15" s="248"/>
      <c r="E15" s="433">
        <f t="shared" si="1"/>
        <v>650</v>
      </c>
      <c r="F15" s="299">
        <f t="shared" si="0"/>
        <v>0</v>
      </c>
      <c r="G15" s="299">
        <v>0</v>
      </c>
      <c r="H15" s="299">
        <v>0</v>
      </c>
      <c r="I15" s="299">
        <v>0</v>
      </c>
      <c r="J15" s="223">
        <v>0</v>
      </c>
      <c r="K15" s="263" t="s">
        <v>527</v>
      </c>
      <c r="L15" s="256"/>
      <c r="M15" s="250" t="e">
        <f>#REF!</f>
        <v>#REF!</v>
      </c>
      <c r="N15" s="264"/>
      <c r="O15" s="265" t="s">
        <v>266</v>
      </c>
      <c r="P15" s="115"/>
      <c r="Q15" s="83"/>
      <c r="R15" s="83"/>
      <c r="S15" s="83"/>
      <c r="T15" s="83"/>
      <c r="U15" s="83"/>
      <c r="X15" s="112"/>
    </row>
    <row r="16" spans="1:24" ht="16.5" x14ac:dyDescent="0.2">
      <c r="A16" s="261" t="s">
        <v>88</v>
      </c>
      <c r="B16" s="262" t="s">
        <v>528</v>
      </c>
      <c r="C16" s="446">
        <v>750</v>
      </c>
      <c r="D16" s="269"/>
      <c r="E16" s="433">
        <f t="shared" si="1"/>
        <v>750</v>
      </c>
      <c r="F16" s="299">
        <f t="shared" si="0"/>
        <v>0</v>
      </c>
      <c r="G16" s="299">
        <v>0</v>
      </c>
      <c r="H16" s="299">
        <v>0</v>
      </c>
      <c r="I16" s="299">
        <v>0</v>
      </c>
      <c r="J16" s="223">
        <v>0</v>
      </c>
      <c r="K16" s="263" t="s">
        <v>529</v>
      </c>
      <c r="L16" s="256"/>
      <c r="M16" s="250" t="e">
        <f>#REF!</f>
        <v>#REF!</v>
      </c>
      <c r="N16" s="270"/>
      <c r="O16" s="265" t="s">
        <v>266</v>
      </c>
      <c r="P16" s="115"/>
      <c r="Q16" s="83"/>
      <c r="R16" s="83"/>
      <c r="S16" s="83"/>
      <c r="T16" s="83"/>
      <c r="U16" s="83"/>
      <c r="X16" s="112"/>
    </row>
    <row r="17" spans="1:24" ht="24" customHeight="1" x14ac:dyDescent="0.2">
      <c r="A17" s="261" t="s">
        <v>530</v>
      </c>
      <c r="B17" s="262" t="s">
        <v>531</v>
      </c>
      <c r="C17" s="445">
        <v>1000</v>
      </c>
      <c r="D17" s="248"/>
      <c r="E17" s="433">
        <f t="shared" si="1"/>
        <v>1000</v>
      </c>
      <c r="F17" s="299">
        <f t="shared" si="0"/>
        <v>0</v>
      </c>
      <c r="G17" s="299">
        <v>0</v>
      </c>
      <c r="H17" s="299">
        <v>0</v>
      </c>
      <c r="I17" s="299">
        <v>0</v>
      </c>
      <c r="J17" s="420">
        <v>0</v>
      </c>
      <c r="K17" s="263" t="s">
        <v>532</v>
      </c>
      <c r="L17" s="256"/>
      <c r="M17" s="250" t="e">
        <f>#REF!</f>
        <v>#REF!</v>
      </c>
      <c r="N17" s="264"/>
      <c r="O17" s="265" t="s">
        <v>266</v>
      </c>
      <c r="P17" s="115"/>
      <c r="Q17" s="83"/>
      <c r="R17" s="83"/>
      <c r="S17" s="83"/>
      <c r="T17" s="83"/>
      <c r="U17" s="83"/>
      <c r="X17" s="112"/>
    </row>
    <row r="18" spans="1:24" ht="73.5" customHeight="1" x14ac:dyDescent="0.2">
      <c r="A18" s="261" t="s">
        <v>533</v>
      </c>
      <c r="B18" s="262" t="s">
        <v>196</v>
      </c>
      <c r="C18" s="536">
        <v>3500</v>
      </c>
      <c r="D18" s="248"/>
      <c r="E18" s="433">
        <f t="shared" si="1"/>
        <v>3500</v>
      </c>
      <c r="F18" s="299">
        <f t="shared" si="0"/>
        <v>0</v>
      </c>
      <c r="G18" s="299">
        <v>0</v>
      </c>
      <c r="H18" s="299">
        <v>0</v>
      </c>
      <c r="I18" s="421">
        <v>0</v>
      </c>
      <c r="J18" s="421">
        <v>0</v>
      </c>
      <c r="K18" s="460" t="s">
        <v>1219</v>
      </c>
      <c r="L18" s="249"/>
      <c r="M18" s="250" t="e">
        <f>#REF!</f>
        <v>#REF!</v>
      </c>
      <c r="N18" s="270"/>
      <c r="O18" s="265" t="s">
        <v>307</v>
      </c>
      <c r="P18" s="497" t="s">
        <v>1355</v>
      </c>
      <c r="Q18" s="490" t="s">
        <v>1354</v>
      </c>
      <c r="R18" s="472"/>
      <c r="S18" s="83"/>
      <c r="T18" s="83"/>
      <c r="U18" s="83"/>
      <c r="X18" s="112"/>
    </row>
    <row r="19" spans="1:24" s="16" customFormat="1" ht="61.5" customHeight="1" x14ac:dyDescent="0.2">
      <c r="A19" s="222" t="s">
        <v>193</v>
      </c>
      <c r="B19" s="250" t="s">
        <v>534</v>
      </c>
      <c r="C19" s="445">
        <v>70</v>
      </c>
      <c r="D19" s="248"/>
      <c r="E19" s="433">
        <f t="shared" si="1"/>
        <v>70</v>
      </c>
      <c r="F19" s="299">
        <f t="shared" si="0"/>
        <v>0</v>
      </c>
      <c r="G19" s="420">
        <v>0</v>
      </c>
      <c r="H19" s="299">
        <v>0</v>
      </c>
      <c r="I19" s="420">
        <v>0</v>
      </c>
      <c r="J19" s="420">
        <v>0</v>
      </c>
      <c r="K19" s="246" t="s">
        <v>1198</v>
      </c>
      <c r="L19" s="272"/>
      <c r="M19" s="250" t="e">
        <f>#REF!</f>
        <v>#REF!</v>
      </c>
      <c r="N19" s="273"/>
      <c r="O19" s="274" t="s">
        <v>317</v>
      </c>
      <c r="P19" s="418" t="s">
        <v>1199</v>
      </c>
      <c r="Q19" s="111"/>
      <c r="R19" s="111"/>
      <c r="S19" s="111"/>
      <c r="T19" s="111"/>
      <c r="U19" s="111"/>
      <c r="X19" s="112"/>
    </row>
    <row r="20" spans="1:24" s="16" customFormat="1" ht="21.75" customHeight="1" x14ac:dyDescent="0.2">
      <c r="A20" s="222" t="s">
        <v>91</v>
      </c>
      <c r="B20" s="246" t="s">
        <v>535</v>
      </c>
      <c r="C20" s="445">
        <v>650</v>
      </c>
      <c r="D20" s="248"/>
      <c r="E20" s="433">
        <f t="shared" si="1"/>
        <v>650</v>
      </c>
      <c r="F20" s="299">
        <f t="shared" si="0"/>
        <v>0</v>
      </c>
      <c r="G20" s="420">
        <v>0</v>
      </c>
      <c r="H20" s="417">
        <v>0</v>
      </c>
      <c r="I20" s="420">
        <v>0</v>
      </c>
      <c r="J20" s="420">
        <v>0</v>
      </c>
      <c r="K20" s="246" t="s">
        <v>536</v>
      </c>
      <c r="L20" s="249"/>
      <c r="M20" s="250" t="e">
        <f>#REF!</f>
        <v>#REF!</v>
      </c>
      <c r="N20" s="251"/>
      <c r="O20" s="252" t="s">
        <v>341</v>
      </c>
      <c r="Q20" s="459" t="s">
        <v>1241</v>
      </c>
      <c r="R20" s="111"/>
      <c r="S20" s="111"/>
      <c r="T20" s="111"/>
      <c r="U20" s="111"/>
      <c r="X20" s="112"/>
    </row>
    <row r="21" spans="1:24" s="16" customFormat="1" ht="24" customHeight="1" x14ac:dyDescent="0.2">
      <c r="A21" s="222" t="s">
        <v>537</v>
      </c>
      <c r="B21" s="250" t="s">
        <v>538</v>
      </c>
      <c r="C21" s="536">
        <v>1500</v>
      </c>
      <c r="D21" s="248"/>
      <c r="E21" s="433">
        <f t="shared" si="1"/>
        <v>1500</v>
      </c>
      <c r="F21" s="299">
        <f t="shared" si="0"/>
        <v>0</v>
      </c>
      <c r="G21" s="299">
        <v>0</v>
      </c>
      <c r="H21" s="417">
        <v>0</v>
      </c>
      <c r="I21" s="420">
        <v>0</v>
      </c>
      <c r="J21" s="420">
        <v>0</v>
      </c>
      <c r="K21" s="276"/>
      <c r="L21" s="277"/>
      <c r="M21" s="250" t="e">
        <f>#REF!</f>
        <v>#REF!</v>
      </c>
      <c r="N21" s="251"/>
      <c r="O21" s="252" t="s">
        <v>307</v>
      </c>
      <c r="P21" s="498" t="s">
        <v>1227</v>
      </c>
      <c r="Q21" s="459"/>
      <c r="R21" s="111"/>
      <c r="S21" s="111"/>
      <c r="T21" s="111"/>
      <c r="U21" s="111"/>
      <c r="X21" s="112"/>
    </row>
    <row r="22" spans="1:24" s="16" customFormat="1" ht="45" x14ac:dyDescent="0.2">
      <c r="A22" s="222" t="s">
        <v>51</v>
      </c>
      <c r="B22" s="250" t="s">
        <v>539</v>
      </c>
      <c r="C22" s="447">
        <v>500</v>
      </c>
      <c r="D22" s="278"/>
      <c r="E22" s="433">
        <f t="shared" si="1"/>
        <v>500</v>
      </c>
      <c r="F22" s="299">
        <f t="shared" si="0"/>
        <v>0</v>
      </c>
      <c r="G22" s="299">
        <v>0</v>
      </c>
      <c r="H22" s="417">
        <v>0</v>
      </c>
      <c r="I22" s="420">
        <v>0</v>
      </c>
      <c r="J22" s="420">
        <v>0</v>
      </c>
      <c r="K22" s="246" t="s">
        <v>540</v>
      </c>
      <c r="L22" s="277"/>
      <c r="M22" s="250"/>
      <c r="N22" s="251"/>
      <c r="O22" s="252"/>
      <c r="P22" s="187"/>
      <c r="Q22" s="111"/>
      <c r="R22" s="111"/>
      <c r="S22" s="111"/>
      <c r="T22" s="111"/>
      <c r="U22" s="111"/>
      <c r="X22" s="112"/>
    </row>
    <row r="23" spans="1:24" s="16" customFormat="1" ht="16.5" x14ac:dyDescent="0.2">
      <c r="A23" s="222" t="s">
        <v>96</v>
      </c>
      <c r="B23" s="250" t="s">
        <v>212</v>
      </c>
      <c r="C23" s="447">
        <v>60000</v>
      </c>
      <c r="D23" s="278"/>
      <c r="E23" s="433">
        <f t="shared" si="1"/>
        <v>60000</v>
      </c>
      <c r="F23" s="299">
        <f t="shared" si="0"/>
        <v>0</v>
      </c>
      <c r="G23" s="420">
        <v>0</v>
      </c>
      <c r="H23" s="417">
        <v>0</v>
      </c>
      <c r="I23" s="420">
        <v>0</v>
      </c>
      <c r="J23" s="420">
        <v>0</v>
      </c>
      <c r="K23" s="246" t="s">
        <v>541</v>
      </c>
      <c r="L23" s="277"/>
      <c r="M23" s="250"/>
      <c r="N23" s="251"/>
      <c r="O23" s="252"/>
      <c r="P23" s="187"/>
      <c r="Q23" s="111"/>
      <c r="R23" s="111"/>
      <c r="S23" s="111"/>
      <c r="T23" s="111"/>
      <c r="U23" s="111"/>
      <c r="X23" s="112"/>
    </row>
    <row r="24" spans="1:24" s="16" customFormat="1" ht="30.75" customHeight="1" x14ac:dyDescent="0.2">
      <c r="A24" s="222" t="s">
        <v>542</v>
      </c>
      <c r="B24" s="250" t="s">
        <v>543</v>
      </c>
      <c r="C24" s="445">
        <v>500</v>
      </c>
      <c r="D24" s="248"/>
      <c r="E24" s="433">
        <v>500</v>
      </c>
      <c r="F24" s="299">
        <f t="shared" si="0"/>
        <v>0</v>
      </c>
      <c r="G24" s="420">
        <v>0</v>
      </c>
      <c r="H24" s="417">
        <v>0</v>
      </c>
      <c r="I24" s="420">
        <v>0</v>
      </c>
      <c r="J24" s="420">
        <v>0</v>
      </c>
      <c r="K24" s="246" t="s">
        <v>1297</v>
      </c>
      <c r="L24" s="249"/>
      <c r="M24" s="250" t="e">
        <f>#REF!</f>
        <v>#REF!</v>
      </c>
      <c r="N24" s="251"/>
      <c r="O24" s="252" t="s">
        <v>341</v>
      </c>
      <c r="P24" s="187"/>
      <c r="Q24" s="111"/>
      <c r="R24" s="111"/>
      <c r="S24" s="111"/>
      <c r="T24" s="111"/>
      <c r="U24" s="111"/>
      <c r="X24" s="112"/>
    </row>
    <row r="25" spans="1:24" s="16" customFormat="1" ht="33" customHeight="1" x14ac:dyDescent="0.25">
      <c r="A25" s="222" t="s">
        <v>1201</v>
      </c>
      <c r="B25" s="572" t="s">
        <v>1202</v>
      </c>
      <c r="C25" s="573">
        <v>375</v>
      </c>
      <c r="D25" s="248"/>
      <c r="E25" s="433"/>
      <c r="F25" s="299"/>
      <c r="G25" s="420"/>
      <c r="H25" s="417"/>
      <c r="I25" s="420"/>
      <c r="J25" s="420"/>
      <c r="K25" s="473" t="s">
        <v>1294</v>
      </c>
      <c r="L25" s="249"/>
      <c r="M25" s="250"/>
      <c r="N25" s="251"/>
      <c r="O25" s="252" t="s">
        <v>307</v>
      </c>
      <c r="P25" s="471"/>
      <c r="Q25" s="111"/>
      <c r="R25" s="111"/>
      <c r="S25" s="111"/>
      <c r="T25" s="111"/>
      <c r="U25" s="111"/>
      <c r="X25" s="112"/>
    </row>
    <row r="26" spans="1:24" s="16" customFormat="1" ht="16.5" x14ac:dyDescent="0.2">
      <c r="A26" s="222" t="s">
        <v>347</v>
      </c>
      <c r="B26" s="250" t="s">
        <v>348</v>
      </c>
      <c r="C26" s="445"/>
      <c r="D26" s="248"/>
      <c r="E26" s="433">
        <f>C24-F24</f>
        <v>500</v>
      </c>
      <c r="F26" s="299">
        <f t="shared" si="0"/>
        <v>0</v>
      </c>
      <c r="G26" s="420"/>
      <c r="H26" s="417"/>
      <c r="I26" s="420"/>
      <c r="J26" s="420"/>
      <c r="K26" s="246"/>
      <c r="L26" s="249"/>
      <c r="M26" s="250" t="e">
        <f>#REF!</f>
        <v>#REF!</v>
      </c>
      <c r="N26" s="251"/>
      <c r="O26" s="252"/>
      <c r="P26" s="187"/>
      <c r="Q26" s="111"/>
      <c r="R26" s="111"/>
      <c r="S26" s="111"/>
      <c r="T26" s="111"/>
      <c r="U26" s="111"/>
      <c r="X26" s="112"/>
    </row>
    <row r="27" spans="1:24" s="16" customFormat="1" ht="31.5" customHeight="1" x14ac:dyDescent="0.2">
      <c r="A27" s="222" t="s">
        <v>60</v>
      </c>
      <c r="B27" s="250" t="s">
        <v>350</v>
      </c>
      <c r="C27" s="445">
        <f>Income!D28</f>
        <v>800</v>
      </c>
      <c r="D27" s="248"/>
      <c r="E27" s="433">
        <f>C26-F26</f>
        <v>0</v>
      </c>
      <c r="F27" s="299">
        <f t="shared" si="0"/>
        <v>0</v>
      </c>
      <c r="G27" s="420"/>
      <c r="H27" s="417"/>
      <c r="I27" s="420"/>
      <c r="J27" s="420"/>
      <c r="K27" s="246" t="s">
        <v>1260</v>
      </c>
      <c r="L27" s="249"/>
      <c r="M27" s="250">
        <v>100</v>
      </c>
      <c r="N27" s="251"/>
      <c r="O27" s="279"/>
      <c r="P27" s="418" t="s">
        <v>1259</v>
      </c>
      <c r="Q27" s="111"/>
      <c r="R27" s="111"/>
      <c r="S27" s="111"/>
      <c r="T27" s="111"/>
      <c r="U27" s="111"/>
      <c r="X27" s="112"/>
    </row>
    <row r="28" spans="1:24" s="16" customFormat="1" ht="16.5" x14ac:dyDescent="0.2">
      <c r="A28" s="280" t="s">
        <v>544</v>
      </c>
      <c r="B28" s="250" t="s">
        <v>545</v>
      </c>
      <c r="C28" s="445"/>
      <c r="D28" s="248"/>
      <c r="E28" s="433">
        <f>C27-F27</f>
        <v>800</v>
      </c>
      <c r="F28" s="299">
        <f t="shared" si="0"/>
        <v>0</v>
      </c>
      <c r="G28" s="420"/>
      <c r="H28" s="417"/>
      <c r="I28" s="420"/>
      <c r="J28" s="420"/>
      <c r="K28" s="246"/>
      <c r="L28" s="249"/>
      <c r="M28" s="250" t="e">
        <f>#REF!</f>
        <v>#REF!</v>
      </c>
      <c r="N28" s="246"/>
      <c r="O28" s="252"/>
      <c r="P28" s="187"/>
      <c r="Q28" s="111"/>
      <c r="R28" s="111"/>
      <c r="S28" s="111"/>
      <c r="T28" s="111"/>
      <c r="U28" s="111"/>
    </row>
    <row r="29" spans="1:24" s="290" customFormat="1" ht="16.5" x14ac:dyDescent="0.2">
      <c r="A29" s="281"/>
      <c r="B29" s="282" t="s">
        <v>546</v>
      </c>
      <c r="C29" s="448">
        <f>SUM(C5:C26)</f>
        <v>78109.5</v>
      </c>
      <c r="D29" s="284"/>
      <c r="E29" s="450">
        <f>SUM(E5:E25)</f>
        <v>77734.5</v>
      </c>
      <c r="F29" s="417">
        <f>SUM(F6:F24)</f>
        <v>0</v>
      </c>
      <c r="G29" s="420"/>
      <c r="H29" s="417"/>
      <c r="I29" s="420"/>
      <c r="J29" s="420"/>
      <c r="K29" s="285"/>
      <c r="L29" s="286"/>
      <c r="M29" s="286"/>
      <c r="N29" s="285"/>
      <c r="O29" s="287"/>
      <c r="P29" s="288"/>
      <c r="Q29" s="289"/>
      <c r="R29" s="289"/>
      <c r="S29" s="289"/>
      <c r="T29" s="289"/>
      <c r="U29" s="289"/>
    </row>
    <row r="30" spans="1:24" ht="10.5" hidden="1" customHeight="1" x14ac:dyDescent="0.2">
      <c r="A30" s="83"/>
      <c r="B30" s="189"/>
      <c r="C30" s="283"/>
      <c r="D30" s="291"/>
      <c r="K30" s="191"/>
      <c r="L30" s="292"/>
      <c r="M30" s="293"/>
      <c r="N30" s="83"/>
      <c r="O30" s="294"/>
      <c r="P30" s="115"/>
      <c r="Q30" s="83"/>
      <c r="R30" s="83"/>
      <c r="S30" s="83"/>
      <c r="T30" s="83"/>
      <c r="U30" s="83"/>
    </row>
    <row r="31" spans="1:24" ht="14.25" x14ac:dyDescent="0.2">
      <c r="A31" s="116"/>
      <c r="B31" s="295" t="s">
        <v>263</v>
      </c>
      <c r="C31" s="296"/>
      <c r="D31" s="296"/>
      <c r="E31" s="297"/>
      <c r="F31" s="424"/>
      <c r="G31" s="425"/>
      <c r="H31" s="424"/>
      <c r="I31" s="425"/>
      <c r="J31" s="425"/>
      <c r="K31" s="170"/>
      <c r="L31" s="299"/>
      <c r="M31" s="300"/>
      <c r="N31" s="301"/>
      <c r="O31" s="123"/>
      <c r="P31" s="115"/>
      <c r="Q31" s="83"/>
      <c r="R31" s="83"/>
      <c r="S31" s="83"/>
      <c r="T31" s="83"/>
      <c r="U31" s="83"/>
    </row>
    <row r="32" spans="1:24" ht="100.5" customHeight="1" x14ac:dyDescent="0.2">
      <c r="A32" s="620" t="s">
        <v>1356</v>
      </c>
      <c r="B32" s="628" t="s">
        <v>1366</v>
      </c>
      <c r="C32" s="628"/>
      <c r="D32" s="628"/>
      <c r="E32" s="628"/>
      <c r="F32" s="628"/>
      <c r="G32" s="628"/>
      <c r="H32" s="628"/>
      <c r="I32" s="628"/>
      <c r="J32" s="628"/>
      <c r="K32" s="628"/>
      <c r="L32" s="628"/>
      <c r="M32" s="628"/>
      <c r="N32" s="628"/>
      <c r="O32" s="628"/>
    </row>
    <row r="33" spans="1:15" ht="21" customHeight="1" x14ac:dyDescent="0.2">
      <c r="A33" s="621" t="s">
        <v>1357</v>
      </c>
      <c r="B33" s="652" t="s">
        <v>547</v>
      </c>
      <c r="C33" s="652"/>
      <c r="D33" s="652"/>
      <c r="E33" s="652"/>
      <c r="F33" s="652"/>
      <c r="G33" s="652"/>
      <c r="H33" s="652"/>
      <c r="I33" s="652"/>
      <c r="J33" s="652"/>
      <c r="K33" s="652"/>
      <c r="L33" s="652"/>
      <c r="M33" s="652"/>
      <c r="N33" s="652"/>
      <c r="O33" s="652"/>
    </row>
  </sheetData>
  <mergeCells count="4">
    <mergeCell ref="A2:O2"/>
    <mergeCell ref="A4:B4"/>
    <mergeCell ref="B32:O32"/>
    <mergeCell ref="B33:O33"/>
  </mergeCells>
  <pageMargins left="0.45" right="0.45" top="0.92200000000000015" bottom="1.1437000000000002" header="0.30000000000000004" footer="0.75000000000000011"/>
  <pageSetup scale="94" fitToHeight="0" orientation="landscape" r:id="rId1"/>
  <headerFooter alignWithMargins="0">
    <oddHeader>&amp;C&amp;"Calibri,Regular"&amp;10Council 8600 Budget</oddHeader>
  </headerFooter>
  <colBreaks count="1" manualBreakCount="1">
    <brk id="14"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29"/>
  <sheetViews>
    <sheetView zoomScaleNormal="100" workbookViewId="0">
      <selection activeCell="G19" sqref="G19"/>
    </sheetView>
  </sheetViews>
  <sheetFormatPr defaultRowHeight="14.25" x14ac:dyDescent="0.2"/>
  <cols>
    <col min="1" max="1" width="3.625" customWidth="1"/>
    <col min="2" max="2" width="35.5" style="312" customWidth="1"/>
    <col min="3" max="3" width="6.5" style="313" hidden="1" customWidth="1"/>
    <col min="4" max="4" width="1" style="313" customWidth="1"/>
    <col min="5" max="5" width="10.75" style="314" customWidth="1"/>
    <col min="6" max="6" width="1.5" customWidth="1"/>
    <col min="7" max="7" width="12.5" customWidth="1"/>
    <col min="8" max="8" width="1.625" customWidth="1"/>
    <col min="9" max="9" width="7.875" customWidth="1"/>
    <col min="10" max="10" width="8.25" customWidth="1"/>
    <col min="11" max="11" width="11.75" customWidth="1"/>
  </cols>
  <sheetData>
    <row r="2" spans="2:11" ht="15" x14ac:dyDescent="0.25">
      <c r="B2" s="557" t="s">
        <v>551</v>
      </c>
      <c r="C2" s="305" t="s">
        <v>552</v>
      </c>
      <c r="D2" s="305"/>
      <c r="E2" s="306" t="s">
        <v>553</v>
      </c>
      <c r="G2" s="307" t="s">
        <v>554</v>
      </c>
      <c r="I2" s="127" t="s">
        <v>358</v>
      </c>
      <c r="J2" s="128" t="s">
        <v>359</v>
      </c>
      <c r="K2" s="534" t="s">
        <v>50</v>
      </c>
    </row>
    <row r="3" spans="2:11" ht="28.5" x14ac:dyDescent="0.25">
      <c r="B3" s="555" t="s">
        <v>555</v>
      </c>
      <c r="C3" s="308">
        <v>36</v>
      </c>
      <c r="D3" s="308"/>
      <c r="E3" s="544">
        <v>45</v>
      </c>
      <c r="G3" s="549" t="s">
        <v>360</v>
      </c>
      <c r="I3" s="527">
        <v>375</v>
      </c>
      <c r="J3" s="528">
        <v>45</v>
      </c>
      <c r="K3" s="528">
        <f t="shared" ref="K3:K8" si="0">I3*J3</f>
        <v>16875</v>
      </c>
    </row>
    <row r="4" spans="2:11" ht="29.25" x14ac:dyDescent="0.25">
      <c r="B4" s="310" t="s">
        <v>556</v>
      </c>
      <c r="C4" s="308"/>
      <c r="D4" s="308"/>
      <c r="E4" s="545">
        <v>22.5</v>
      </c>
      <c r="G4" s="549" t="s">
        <v>361</v>
      </c>
      <c r="I4" s="527">
        <v>16</v>
      </c>
      <c r="J4" s="528">
        <v>10</v>
      </c>
      <c r="K4" s="528">
        <f t="shared" si="0"/>
        <v>160</v>
      </c>
    </row>
    <row r="5" spans="2:11" ht="28.5" x14ac:dyDescent="0.25">
      <c r="B5" s="556" t="s">
        <v>557</v>
      </c>
      <c r="C5" s="308">
        <v>6.5</v>
      </c>
      <c r="D5" s="311">
        <v>6.5</v>
      </c>
      <c r="E5" s="546"/>
      <c r="G5" s="549" t="s">
        <v>558</v>
      </c>
      <c r="I5" s="527">
        <v>114</v>
      </c>
      <c r="J5" s="528">
        <v>0</v>
      </c>
      <c r="K5" s="528">
        <f t="shared" si="0"/>
        <v>0</v>
      </c>
    </row>
    <row r="6" spans="2:11" ht="15" x14ac:dyDescent="0.25">
      <c r="B6" s="556" t="s">
        <v>559</v>
      </c>
      <c r="C6" s="308">
        <v>4</v>
      </c>
      <c r="D6" s="311">
        <v>7</v>
      </c>
      <c r="E6" s="547">
        <v>13.5</v>
      </c>
      <c r="G6" s="549" t="s">
        <v>363</v>
      </c>
      <c r="I6" s="527">
        <v>1</v>
      </c>
      <c r="J6" s="528">
        <v>0</v>
      </c>
      <c r="K6" s="528">
        <f t="shared" si="0"/>
        <v>0</v>
      </c>
    </row>
    <row r="7" spans="2:11" x14ac:dyDescent="0.2">
      <c r="E7" s="548"/>
      <c r="G7" s="549" t="s">
        <v>364</v>
      </c>
      <c r="I7" s="527">
        <v>80</v>
      </c>
      <c r="J7" s="528">
        <v>-45</v>
      </c>
      <c r="K7" s="528">
        <f t="shared" si="0"/>
        <v>-3600</v>
      </c>
    </row>
    <row r="8" spans="2:11" ht="30" x14ac:dyDescent="0.25">
      <c r="B8" s="312" t="s">
        <v>1281</v>
      </c>
      <c r="E8" s="554">
        <v>15</v>
      </c>
      <c r="G8" s="549" t="s">
        <v>365</v>
      </c>
      <c r="I8" s="527">
        <v>18</v>
      </c>
      <c r="J8" s="528">
        <v>0</v>
      </c>
      <c r="K8" s="528">
        <f t="shared" si="0"/>
        <v>0</v>
      </c>
    </row>
    <row r="9" spans="2:11" ht="24.75" customHeight="1" x14ac:dyDescent="0.2">
      <c r="G9" s="649" t="s">
        <v>1303</v>
      </c>
      <c r="H9" s="649"/>
      <c r="I9" s="649"/>
      <c r="J9" s="315"/>
      <c r="K9" s="586">
        <f>SUM(K3:K8)</f>
        <v>13435</v>
      </c>
    </row>
    <row r="10" spans="2:11" ht="15" x14ac:dyDescent="0.25">
      <c r="G10" s="426"/>
      <c r="I10" s="130"/>
      <c r="J10" s="315"/>
      <c r="K10" s="552"/>
    </row>
    <row r="11" spans="2:11" ht="16.5" x14ac:dyDescent="0.2">
      <c r="B11" s="648"/>
      <c r="C11" s="648"/>
      <c r="D11" s="648"/>
      <c r="E11" s="648"/>
      <c r="F11" s="648"/>
      <c r="G11" s="648"/>
      <c r="I11" s="130"/>
      <c r="J11" s="315"/>
      <c r="K11" s="552"/>
    </row>
    <row r="12" spans="2:11" ht="16.5" x14ac:dyDescent="0.2">
      <c r="B12" s="553"/>
      <c r="C12" s="553"/>
      <c r="D12" s="553"/>
      <c r="E12" s="553"/>
      <c r="F12" s="553"/>
      <c r="G12" s="553"/>
      <c r="I12" s="130"/>
      <c r="J12" s="315"/>
      <c r="K12" s="552"/>
    </row>
    <row r="13" spans="2:11" ht="22.5" customHeight="1" x14ac:dyDescent="0.2"/>
    <row r="15" spans="2:11" ht="25.5" customHeight="1" x14ac:dyDescent="0.2">
      <c r="B15" s="582"/>
      <c r="C15" s="583"/>
      <c r="D15" s="583"/>
      <c r="E15" s="584"/>
      <c r="F15" s="585"/>
      <c r="G15" s="585"/>
      <c r="H15" s="585"/>
      <c r="I15" s="585"/>
      <c r="J15" s="585"/>
      <c r="K15" s="585"/>
    </row>
    <row r="16" spans="2:11" x14ac:dyDescent="0.2">
      <c r="B16" s="558" t="s">
        <v>1280</v>
      </c>
    </row>
    <row r="17" spans="2:11" ht="16.5" x14ac:dyDescent="0.2">
      <c r="B17" s="452" t="s">
        <v>1209</v>
      </c>
      <c r="E17" s="314">
        <v>36</v>
      </c>
    </row>
    <row r="18" spans="2:11" ht="16.5" x14ac:dyDescent="0.2">
      <c r="B18" s="457" t="s">
        <v>1216</v>
      </c>
      <c r="E18" s="314">
        <v>-6.5</v>
      </c>
      <c r="F18" s="124"/>
      <c r="H18" s="130"/>
      <c r="I18" s="458"/>
      <c r="J18" s="309"/>
    </row>
    <row r="19" spans="2:11" ht="16.5" x14ac:dyDescent="0.2">
      <c r="B19" s="457" t="s">
        <v>1217</v>
      </c>
      <c r="E19" s="314">
        <v>-4</v>
      </c>
    </row>
    <row r="20" spans="2:11" ht="16.5" x14ac:dyDescent="0.25">
      <c r="B20" s="452" t="s">
        <v>1212</v>
      </c>
      <c r="E20" s="551">
        <f>SUM(E17:E19)</f>
        <v>25.5</v>
      </c>
    </row>
    <row r="21" spans="2:11" x14ac:dyDescent="0.2">
      <c r="B21" s="312" t="s">
        <v>1282</v>
      </c>
    </row>
    <row r="22" spans="2:11" ht="16.5" x14ac:dyDescent="0.2">
      <c r="B22" s="452" t="s">
        <v>1211</v>
      </c>
      <c r="E22" s="314">
        <f>E20/12</f>
        <v>2.125</v>
      </c>
    </row>
    <row r="23" spans="2:11" ht="21.75" customHeight="1" x14ac:dyDescent="0.25">
      <c r="B23" s="452" t="s">
        <v>1213</v>
      </c>
      <c r="E23" s="456">
        <v>7</v>
      </c>
    </row>
    <row r="24" spans="2:11" x14ac:dyDescent="0.2">
      <c r="B24" s="312" t="s">
        <v>1214</v>
      </c>
      <c r="E24" s="455">
        <f>E22*E23</f>
        <v>14.875</v>
      </c>
    </row>
    <row r="25" spans="2:11" ht="16.5" x14ac:dyDescent="0.2">
      <c r="B25" s="452" t="s">
        <v>1210</v>
      </c>
      <c r="E25" s="314">
        <v>15</v>
      </c>
    </row>
    <row r="26" spans="2:11" ht="15" x14ac:dyDescent="0.25">
      <c r="B26" s="453" t="s">
        <v>1218</v>
      </c>
      <c r="C26" s="454"/>
      <c r="D26" s="454"/>
      <c r="E26" s="550">
        <f>SUM(E24:E25)</f>
        <v>29.875</v>
      </c>
    </row>
    <row r="27" spans="2:11" ht="8.25" customHeight="1" x14ac:dyDescent="0.2"/>
    <row r="28" spans="2:11" x14ac:dyDescent="0.2">
      <c r="B28" s="647" t="s">
        <v>1208</v>
      </c>
      <c r="C28" s="647"/>
      <c r="D28" s="647"/>
      <c r="E28" s="647"/>
      <c r="F28" s="647"/>
      <c r="G28" s="647"/>
      <c r="H28" s="647"/>
      <c r="I28" s="647"/>
      <c r="J28" s="647"/>
      <c r="K28" s="647"/>
    </row>
    <row r="29" spans="2:11" ht="16.5" x14ac:dyDescent="0.2">
      <c r="B29" s="646" t="s">
        <v>1215</v>
      </c>
      <c r="C29" s="646"/>
      <c r="D29" s="646"/>
      <c r="E29" s="646"/>
      <c r="F29" s="646"/>
      <c r="G29" s="646"/>
    </row>
  </sheetData>
  <mergeCells count="4">
    <mergeCell ref="B29:G29"/>
    <mergeCell ref="B28:K28"/>
    <mergeCell ref="B11:G11"/>
    <mergeCell ref="G9:I9"/>
  </mergeCells>
  <conditionalFormatting sqref="J3:K12 I18:J18">
    <cfRule type="cellIs" dxfId="0" priority="1" stopIfTrue="1" operator="greaterThan">
      <formula>0</formula>
    </cfRule>
  </conditionalFormatting>
  <pageMargins left="0" right="0" top="0.39410000000000006" bottom="0.39410000000000006" header="0" footer="0"/>
  <pageSetup fitToWidth="0" fitToHeight="0" pageOrder="overThenDown" orientation="portrait"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400</TotalTime>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2019-2020 Tax Worksheet</vt:lpstr>
      <vt:lpstr>Summary</vt:lpstr>
      <vt:lpstr>Income</vt:lpstr>
      <vt:lpstr> Community Program Expenses</vt:lpstr>
      <vt:lpstr>Family Program Expenses</vt:lpstr>
      <vt:lpstr>Faith Program Expenses</vt:lpstr>
      <vt:lpstr>Life Program Expenses</vt:lpstr>
      <vt:lpstr>Council Opns Expenses</vt:lpstr>
      <vt:lpstr>Annual_Dues</vt:lpstr>
      <vt:lpstr>Historical</vt:lpstr>
      <vt:lpstr>Off Budget</vt:lpstr>
      <vt:lpstr>Sheet2</vt:lpstr>
      <vt:lpstr>Sheet3</vt:lpstr>
      <vt:lpstr>Sheet4</vt:lpstr>
      <vt:lpstr>Sheet1</vt:lpstr>
      <vt:lpstr>total</vt:lpstr>
      <vt:lpstr>Sheet5</vt:lpstr>
      <vt:lpstr>DPCache_2019-2020 Worksheet</vt:lpstr>
      <vt:lpstr>DPCache_2018 Warant Register</vt:lpstr>
      <vt:lpstr>Sheet7</vt:lpstr>
      <vt:lpstr>' Community Program Expenses'!Print_Area</vt:lpstr>
      <vt:lpstr>'2019-2020 Tax Worksheet'!Print_Area</vt:lpstr>
      <vt:lpstr>'Council Opns Expenses'!Print_Area</vt:lpstr>
      <vt:lpstr>'Faith Program Expenses'!Print_Area</vt:lpstr>
      <vt:lpstr>'Family Program Expenses'!Print_Area</vt:lpstr>
      <vt:lpstr>Income!Print_Area</vt:lpstr>
      <vt:lpstr>'Life Program Expenses'!Print_Area</vt:lpstr>
      <vt:lpstr>'Off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 Minus</cp:lastModifiedBy>
  <cp:revision>11</cp:revision>
  <cp:lastPrinted>2024-05-21T22:24:16Z</cp:lastPrinted>
  <dcterms:created xsi:type="dcterms:W3CDTF">2024-02-24T17:04:38Z</dcterms:created>
  <dcterms:modified xsi:type="dcterms:W3CDTF">2024-07-14T13:36:40Z</dcterms:modified>
</cp:coreProperties>
</file>